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922" i="1"/>
  <c r="U922"/>
  <c r="U921"/>
  <c r="U920"/>
  <c r="V919"/>
  <c r="U919"/>
  <c r="V918"/>
  <c r="U918"/>
  <c r="V917"/>
  <c r="U917"/>
  <c r="V916"/>
  <c r="U916"/>
  <c r="V915"/>
  <c r="U915"/>
  <c r="V914"/>
  <c r="U914"/>
  <c r="V913"/>
  <c r="U913"/>
  <c r="V912"/>
  <c r="U912"/>
  <c r="V911"/>
  <c r="U911"/>
  <c r="V910"/>
  <c r="U910"/>
  <c r="V909"/>
  <c r="U909"/>
  <c r="V908"/>
  <c r="U908"/>
  <c r="V907"/>
  <c r="U907"/>
  <c r="V906"/>
  <c r="U906"/>
  <c r="V905"/>
  <c r="U905"/>
  <c r="V904"/>
  <c r="U904"/>
  <c r="V903"/>
  <c r="U903"/>
  <c r="V902"/>
  <c r="U902"/>
  <c r="V901"/>
  <c r="U901"/>
  <c r="V900"/>
  <c r="U900"/>
  <c r="V899"/>
  <c r="U899"/>
  <c r="V898"/>
  <c r="U898"/>
  <c r="V897"/>
  <c r="U897"/>
  <c r="V896"/>
  <c r="U896"/>
  <c r="V895"/>
  <c r="U895"/>
  <c r="V894"/>
  <c r="U894"/>
  <c r="U893"/>
  <c r="V892"/>
  <c r="U892"/>
  <c r="U891"/>
  <c r="V890"/>
  <c r="U890"/>
  <c r="V889"/>
  <c r="U889"/>
  <c r="V888"/>
  <c r="U888"/>
  <c r="V887"/>
  <c r="U887"/>
  <c r="V886"/>
  <c r="U886"/>
  <c r="V885"/>
  <c r="U885"/>
  <c r="V884"/>
  <c r="U884"/>
  <c r="V883"/>
  <c r="U883"/>
  <c r="V882"/>
  <c r="U882"/>
  <c r="V881"/>
  <c r="U881"/>
  <c r="V880"/>
  <c r="U880"/>
  <c r="V879"/>
  <c r="U879"/>
  <c r="V878"/>
  <c r="U878"/>
  <c r="V877"/>
  <c r="U877"/>
  <c r="V876"/>
  <c r="U876"/>
  <c r="V875"/>
  <c r="U875"/>
  <c r="V874"/>
  <c r="U874"/>
  <c r="V873"/>
  <c r="U873"/>
  <c r="V872"/>
  <c r="U872"/>
  <c r="V871"/>
  <c r="U871"/>
  <c r="V870"/>
  <c r="U870"/>
  <c r="V869"/>
  <c r="U869"/>
  <c r="V868"/>
  <c r="U868"/>
  <c r="V867"/>
  <c r="U867"/>
  <c r="V866"/>
  <c r="U866"/>
  <c r="V865"/>
  <c r="U865"/>
  <c r="V864"/>
  <c r="U864"/>
  <c r="V863"/>
  <c r="U863"/>
  <c r="V862"/>
  <c r="U862"/>
  <c r="V861"/>
  <c r="U861"/>
  <c r="V860"/>
  <c r="U860"/>
  <c r="V859"/>
  <c r="U859"/>
  <c r="V858"/>
  <c r="U858"/>
  <c r="V857"/>
  <c r="U857"/>
  <c r="V856"/>
  <c r="U856"/>
  <c r="V855"/>
  <c r="U855"/>
  <c r="V854"/>
  <c r="U854"/>
  <c r="V853"/>
  <c r="U853"/>
  <c r="V852"/>
  <c r="U852"/>
  <c r="V851"/>
  <c r="U851"/>
  <c r="V850"/>
  <c r="U850"/>
  <c r="V849"/>
  <c r="U849"/>
  <c r="V848"/>
  <c r="U848"/>
  <c r="V847"/>
  <c r="U847"/>
  <c r="V846"/>
  <c r="U846"/>
  <c r="U845"/>
  <c r="V844"/>
  <c r="U844"/>
  <c r="V843"/>
  <c r="U843"/>
  <c r="V842"/>
  <c r="U842"/>
  <c r="U841"/>
  <c r="V840"/>
  <c r="U840"/>
  <c r="V839"/>
  <c r="U839"/>
  <c r="U838"/>
  <c r="V837"/>
  <c r="U837"/>
  <c r="V836"/>
  <c r="U836"/>
  <c r="V835"/>
  <c r="U835"/>
  <c r="V834"/>
  <c r="U834"/>
  <c r="V833"/>
  <c r="U833"/>
  <c r="V832"/>
  <c r="U832"/>
  <c r="V831"/>
  <c r="U831"/>
  <c r="V830"/>
  <c r="U830"/>
  <c r="V829"/>
  <c r="U829"/>
  <c r="V828"/>
  <c r="U828"/>
  <c r="V827"/>
  <c r="U827"/>
  <c r="V826"/>
  <c r="U826"/>
  <c r="V825"/>
  <c r="U825"/>
  <c r="V824"/>
  <c r="U824"/>
  <c r="V823"/>
  <c r="U823"/>
  <c r="V822"/>
  <c r="U822"/>
  <c r="V821"/>
  <c r="U821"/>
  <c r="V820"/>
  <c r="U820"/>
  <c r="V819"/>
  <c r="U819"/>
  <c r="V818"/>
  <c r="U818"/>
  <c r="V817"/>
  <c r="U817"/>
  <c r="V816"/>
  <c r="U816"/>
  <c r="V815"/>
  <c r="U815"/>
  <c r="V814"/>
  <c r="U814"/>
  <c r="V813"/>
  <c r="U813"/>
  <c r="V812"/>
  <c r="U812"/>
  <c r="V811"/>
  <c r="U811"/>
  <c r="V810"/>
  <c r="U810"/>
  <c r="V809"/>
  <c r="U809"/>
  <c r="V808"/>
  <c r="U808"/>
  <c r="V807"/>
  <c r="U807"/>
  <c r="V806"/>
  <c r="U806"/>
  <c r="V805"/>
  <c r="U805"/>
  <c r="V804"/>
  <c r="U804"/>
  <c r="V803"/>
  <c r="U803"/>
  <c r="V802"/>
  <c r="U802"/>
  <c r="V801"/>
  <c r="U801"/>
  <c r="V800"/>
  <c r="U800"/>
  <c r="V799"/>
  <c r="U799"/>
  <c r="V798"/>
  <c r="U798"/>
  <c r="V797"/>
  <c r="U797"/>
  <c r="V796"/>
  <c r="U796"/>
  <c r="V795"/>
  <c r="U795"/>
  <c r="V794"/>
  <c r="U794"/>
  <c r="V793"/>
  <c r="U793"/>
  <c r="V792"/>
  <c r="U792"/>
  <c r="V791"/>
  <c r="U791"/>
  <c r="V790"/>
  <c r="U790"/>
  <c r="V789"/>
  <c r="U789"/>
  <c r="V788"/>
  <c r="U788"/>
  <c r="V787"/>
  <c r="U787"/>
  <c r="V786"/>
  <c r="U786"/>
  <c r="V785"/>
  <c r="U785"/>
  <c r="V784"/>
  <c r="U784"/>
  <c r="V783"/>
  <c r="U783"/>
  <c r="V782"/>
  <c r="U782"/>
  <c r="V781"/>
  <c r="U781"/>
  <c r="V780"/>
  <c r="U780"/>
  <c r="V779"/>
  <c r="U779"/>
  <c r="V778"/>
  <c r="U778"/>
  <c r="V777"/>
  <c r="U777"/>
  <c r="V776"/>
  <c r="U776"/>
  <c r="V775"/>
  <c r="U775"/>
  <c r="V774"/>
  <c r="U774"/>
  <c r="V773"/>
  <c r="U773"/>
  <c r="V772"/>
  <c r="U772"/>
  <c r="V771"/>
  <c r="U771"/>
  <c r="V770"/>
  <c r="U770"/>
  <c r="V769"/>
  <c r="U769"/>
  <c r="V768"/>
  <c r="U768"/>
  <c r="V767"/>
  <c r="U767"/>
  <c r="V766"/>
  <c r="U766"/>
  <c r="V765"/>
  <c r="U765"/>
  <c r="V764"/>
  <c r="U764"/>
  <c r="V763"/>
  <c r="U763"/>
  <c r="V762"/>
  <c r="U762"/>
  <c r="V761"/>
  <c r="U761"/>
  <c r="V760"/>
  <c r="U760"/>
  <c r="V759"/>
  <c r="U759"/>
  <c r="V758"/>
  <c r="U758"/>
  <c r="V757"/>
  <c r="U757"/>
  <c r="V756"/>
  <c r="U756"/>
  <c r="V755"/>
  <c r="U755"/>
  <c r="V754"/>
  <c r="U754"/>
  <c r="V753"/>
  <c r="U753"/>
  <c r="V752"/>
  <c r="U752"/>
  <c r="V751"/>
  <c r="U751"/>
  <c r="V750"/>
  <c r="U750"/>
  <c r="V749"/>
  <c r="U749"/>
  <c r="V748"/>
  <c r="U748"/>
  <c r="V747"/>
  <c r="U747"/>
  <c r="V746"/>
  <c r="U746"/>
  <c r="V745"/>
  <c r="U745"/>
  <c r="V744"/>
  <c r="U744"/>
  <c r="V743"/>
  <c r="U743"/>
  <c r="V742"/>
  <c r="U742"/>
  <c r="V741"/>
  <c r="U741"/>
  <c r="V740"/>
  <c r="U740"/>
  <c r="V739"/>
  <c r="U739"/>
  <c r="V738"/>
  <c r="U738"/>
  <c r="V737"/>
  <c r="U737"/>
  <c r="V736"/>
  <c r="U736"/>
  <c r="V735"/>
  <c r="U735"/>
  <c r="V734"/>
  <c r="U734"/>
  <c r="V733"/>
  <c r="U733"/>
  <c r="U732"/>
  <c r="V731"/>
  <c r="U731"/>
  <c r="V730"/>
  <c r="U730"/>
  <c r="V729"/>
  <c r="U729"/>
  <c r="V728"/>
  <c r="U728"/>
  <c r="V727"/>
  <c r="U727"/>
  <c r="V726"/>
  <c r="U726"/>
  <c r="V725"/>
  <c r="U725"/>
  <c r="V724"/>
  <c r="U724"/>
  <c r="V723"/>
  <c r="U723"/>
  <c r="V722"/>
  <c r="U722"/>
  <c r="V721"/>
  <c r="U721"/>
  <c r="V720"/>
  <c r="U720"/>
  <c r="V719"/>
  <c r="U719"/>
  <c r="V718"/>
  <c r="U718"/>
  <c r="V717"/>
  <c r="U717"/>
  <c r="V716"/>
  <c r="U716"/>
  <c r="V715"/>
  <c r="U715"/>
  <c r="V714"/>
  <c r="U714"/>
  <c r="V713"/>
  <c r="U713"/>
  <c r="U712"/>
  <c r="V711"/>
  <c r="U711"/>
  <c r="V710"/>
  <c r="U710"/>
  <c r="V709"/>
  <c r="U709"/>
  <c r="V708"/>
  <c r="U708"/>
  <c r="V707"/>
  <c r="U707"/>
  <c r="V706"/>
  <c r="U706"/>
  <c r="V705"/>
  <c r="U705"/>
  <c r="V704"/>
  <c r="U704"/>
  <c r="V703"/>
  <c r="U703"/>
  <c r="V702"/>
  <c r="U702"/>
  <c r="U701"/>
  <c r="V700"/>
  <c r="U700"/>
  <c r="V699"/>
  <c r="U699"/>
  <c r="V698"/>
  <c r="U698"/>
  <c r="V697"/>
  <c r="U697"/>
  <c r="V696"/>
  <c r="U696"/>
  <c r="V695"/>
  <c r="U695"/>
  <c r="V694"/>
  <c r="U694"/>
  <c r="V693"/>
  <c r="U693"/>
  <c r="V692"/>
  <c r="V691"/>
  <c r="U691"/>
  <c r="V690"/>
  <c r="U690"/>
  <c r="V689"/>
  <c r="U689"/>
  <c r="V688"/>
  <c r="U688"/>
  <c r="V687"/>
  <c r="U687"/>
  <c r="V686"/>
  <c r="U686"/>
  <c r="V685"/>
  <c r="U685"/>
  <c r="V684"/>
  <c r="U684"/>
  <c r="V683"/>
  <c r="U683"/>
  <c r="V682"/>
  <c r="U682"/>
  <c r="V681"/>
  <c r="U681"/>
  <c r="V680"/>
  <c r="U680"/>
  <c r="V679"/>
  <c r="U679"/>
  <c r="V678"/>
  <c r="U678"/>
  <c r="V677"/>
  <c r="U677"/>
  <c r="V676"/>
  <c r="U676"/>
  <c r="V675"/>
  <c r="U675"/>
  <c r="V674"/>
  <c r="U674"/>
  <c r="V673"/>
  <c r="U673"/>
  <c r="V672"/>
  <c r="U672"/>
  <c r="V671"/>
  <c r="U671"/>
  <c r="V670"/>
  <c r="U670"/>
  <c r="V669"/>
  <c r="U669"/>
  <c r="V668"/>
  <c r="U668"/>
  <c r="V667"/>
  <c r="U667"/>
  <c r="V666"/>
  <c r="U666"/>
  <c r="V665"/>
  <c r="U665"/>
  <c r="V664"/>
  <c r="U664"/>
  <c r="V663"/>
  <c r="U663"/>
  <c r="U662"/>
  <c r="V661"/>
  <c r="U661"/>
  <c r="V660"/>
  <c r="V659"/>
  <c r="U659"/>
  <c r="V658"/>
  <c r="U658"/>
  <c r="V657"/>
  <c r="U657"/>
  <c r="V656"/>
  <c r="U656"/>
  <c r="V655"/>
  <c r="U655"/>
  <c r="V654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V626"/>
  <c r="U626"/>
  <c r="V625"/>
  <c r="U625"/>
  <c r="V624"/>
  <c r="U624"/>
  <c r="V623"/>
  <c r="U623"/>
  <c r="V622"/>
  <c r="U622"/>
  <c r="V621"/>
  <c r="U621"/>
  <c r="V620"/>
  <c r="U620"/>
  <c r="V619"/>
  <c r="U619"/>
  <c r="V618"/>
  <c r="U618"/>
  <c r="V617"/>
  <c r="U617"/>
  <c r="V616"/>
  <c r="U616"/>
  <c r="U615"/>
  <c r="V614"/>
  <c r="U614"/>
  <c r="V613"/>
  <c r="U613"/>
  <c r="V612"/>
  <c r="V611"/>
  <c r="U611"/>
  <c r="V610"/>
  <c r="U610"/>
  <c r="V609"/>
  <c r="U609"/>
  <c r="V608"/>
  <c r="U608"/>
  <c r="V607"/>
  <c r="U607"/>
  <c r="V606"/>
  <c r="U606"/>
  <c r="V605"/>
  <c r="U605"/>
  <c r="V604"/>
  <c r="U604"/>
  <c r="V603"/>
  <c r="U603"/>
  <c r="V602"/>
  <c r="U602"/>
  <c r="V601"/>
  <c r="U601"/>
  <c r="V600"/>
  <c r="U600"/>
  <c r="V599"/>
  <c r="U599"/>
  <c r="V598"/>
  <c r="U598"/>
  <c r="V597"/>
  <c r="U597"/>
  <c r="V596"/>
  <c r="U596"/>
  <c r="V595"/>
  <c r="U595"/>
  <c r="V594"/>
  <c r="U594"/>
  <c r="U593"/>
  <c r="V592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V568"/>
  <c r="U568"/>
  <c r="V567"/>
  <c r="U567"/>
  <c r="V566"/>
  <c r="U566"/>
  <c r="V565"/>
  <c r="U565"/>
  <c r="V564"/>
  <c r="U564"/>
  <c r="V563"/>
  <c r="U563"/>
  <c r="V562"/>
  <c r="U562"/>
  <c r="V561"/>
  <c r="U561"/>
  <c r="V560"/>
  <c r="U560"/>
  <c r="V559"/>
  <c r="U559"/>
  <c r="V558"/>
  <c r="U558"/>
  <c r="V557"/>
  <c r="U557"/>
  <c r="V556"/>
  <c r="U556"/>
  <c r="V555"/>
  <c r="U555"/>
  <c r="V554"/>
  <c r="U554"/>
  <c r="V553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V540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U529"/>
  <c r="V528"/>
  <c r="U528"/>
  <c r="V527"/>
  <c r="U527"/>
  <c r="V526"/>
  <c r="U526"/>
  <c r="V525"/>
  <c r="U525"/>
  <c r="U524"/>
  <c r="U523"/>
  <c r="V522"/>
  <c r="U522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V509"/>
  <c r="U509"/>
  <c r="V508"/>
  <c r="U508"/>
  <c r="V507"/>
  <c r="U507"/>
  <c r="V506"/>
  <c r="U506"/>
  <c r="V505"/>
  <c r="U505"/>
  <c r="V504"/>
  <c r="U504"/>
  <c r="V503"/>
  <c r="U503"/>
  <c r="V502"/>
  <c r="U502"/>
  <c r="V501"/>
  <c r="U501"/>
  <c r="V500"/>
  <c r="U500"/>
  <c r="V499"/>
  <c r="U499"/>
  <c r="V498"/>
  <c r="U498"/>
  <c r="V497"/>
  <c r="U497"/>
  <c r="V496"/>
  <c r="U496"/>
  <c r="V495"/>
  <c r="U495"/>
  <c r="V494"/>
  <c r="U494"/>
  <c r="V493"/>
  <c r="U493"/>
  <c r="V492"/>
  <c r="U492"/>
  <c r="V491"/>
  <c r="U491"/>
  <c r="V490"/>
  <c r="U490"/>
  <c r="V489"/>
  <c r="U489"/>
  <c r="U488"/>
  <c r="V487"/>
  <c r="U487"/>
  <c r="V486"/>
  <c r="U486"/>
  <c r="V485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V471"/>
  <c r="U471"/>
  <c r="V470"/>
  <c r="U470"/>
  <c r="V469"/>
  <c r="U469"/>
  <c r="V468"/>
  <c r="U468"/>
  <c r="V467"/>
  <c r="U467"/>
  <c r="U466"/>
  <c r="V465"/>
  <c r="U465"/>
  <c r="V464"/>
  <c r="U464"/>
  <c r="V463"/>
  <c r="U463"/>
  <c r="V462"/>
  <c r="U462"/>
  <c r="V461"/>
  <c r="U461"/>
  <c r="V460"/>
  <c r="U460"/>
  <c r="V459"/>
  <c r="U459"/>
  <c r="V458"/>
  <c r="U458"/>
  <c r="V457"/>
  <c r="U457"/>
  <c r="V456"/>
  <c r="U456"/>
  <c r="V455"/>
  <c r="U455"/>
  <c r="V454"/>
  <c r="U454"/>
  <c r="V453"/>
  <c r="U453"/>
  <c r="V452"/>
  <c r="U452"/>
  <c r="V451"/>
  <c r="U451"/>
  <c r="V450"/>
  <c r="U450"/>
  <c r="V449"/>
  <c r="U449"/>
  <c r="V448"/>
  <c r="U448"/>
  <c r="V447"/>
  <c r="U447"/>
  <c r="V446"/>
  <c r="U446"/>
  <c r="V445"/>
  <c r="U445"/>
  <c r="V444"/>
  <c r="U444"/>
  <c r="V443"/>
  <c r="U443"/>
  <c r="V442"/>
  <c r="U442"/>
  <c r="V441"/>
  <c r="U441"/>
  <c r="V440"/>
  <c r="U440"/>
  <c r="V439"/>
  <c r="U439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V418"/>
  <c r="U418"/>
  <c r="V417"/>
  <c r="U417"/>
  <c r="V416"/>
  <c r="U416"/>
  <c r="V415"/>
  <c r="U415"/>
  <c r="V414"/>
  <c r="U414"/>
  <c r="V413"/>
  <c r="U413"/>
  <c r="V412"/>
  <c r="U412"/>
  <c r="V411"/>
  <c r="U411"/>
  <c r="V410"/>
  <c r="U410"/>
  <c r="V409"/>
  <c r="U409"/>
  <c r="V408"/>
  <c r="U408"/>
  <c r="V407"/>
  <c r="V406"/>
  <c r="U406"/>
  <c r="V405"/>
  <c r="U405"/>
  <c r="V404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V386"/>
  <c r="U386"/>
  <c r="V385"/>
  <c r="U385"/>
  <c r="V384"/>
  <c r="U384"/>
  <c r="V383"/>
  <c r="U383"/>
  <c r="V382"/>
  <c r="U382"/>
  <c r="V381"/>
  <c r="U381"/>
  <c r="V380"/>
  <c r="U380"/>
  <c r="V379"/>
  <c r="U379"/>
  <c r="V378"/>
  <c r="U378"/>
  <c r="V377"/>
  <c r="U377"/>
  <c r="V376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V353"/>
  <c r="U353"/>
  <c r="V352"/>
  <c r="U352"/>
  <c r="V351"/>
  <c r="U351"/>
  <c r="V350"/>
  <c r="U350"/>
  <c r="V349"/>
  <c r="U349"/>
  <c r="V348"/>
  <c r="U348"/>
  <c r="V347"/>
  <c r="U347"/>
  <c r="V346"/>
  <c r="U346"/>
  <c r="V345"/>
  <c r="U345"/>
  <c r="V344"/>
  <c r="U344"/>
  <c r="V343"/>
  <c r="U343"/>
  <c r="V342"/>
  <c r="U342"/>
  <c r="V341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V312"/>
  <c r="U312"/>
  <c r="V311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U285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U239"/>
  <c r="V238"/>
  <c r="U238"/>
  <c r="V237"/>
  <c r="U237"/>
  <c r="V236"/>
  <c r="U236"/>
  <c r="V235"/>
  <c r="U235"/>
  <c r="V234"/>
  <c r="U234"/>
  <c r="V233"/>
  <c r="U233"/>
  <c r="V232"/>
  <c r="U232"/>
  <c r="V231"/>
  <c r="U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<sst xmlns="http://schemas.openxmlformats.org/spreadsheetml/2006/main" count="15161" uniqueCount="6510">
  <si>
    <t>ИНФРА-М Научно-издательский Центр</t>
  </si>
  <si>
    <t>08. Менеджмент (для учебных заведений и библиотек)
от 31.10.2023</t>
  </si>
  <si>
    <t>Данный прайс-лист не является публичной офертой</t>
  </si>
  <si>
    <t>127214, Москва г, Полярная ул, дом № 31 В, строение 1 эт.3 пом.I.к.9Б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</si>
  <si>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</si>
  <si>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</si>
  <si>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</si>
  <si>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</si>
  <si>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</si>
  <si>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</si>
  <si>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</si>
  <si>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</si>
  <si>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</si>
  <si>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</si>
  <si>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</si>
  <si>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</si>
  <si>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</si>
  <si>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</si>
  <si>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</si>
  <si>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</si>
  <si>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</si>
  <si>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</si>
  <si>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</si>
  <si>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</si>
  <si>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</si>
  <si>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znanium.com</t>
  </si>
  <si>
    <t>Обложка</t>
  </si>
  <si>
    <t>ЭБС Znanium.com</t>
  </si>
  <si>
    <t>Аффилиация автора</t>
  </si>
  <si>
    <t>Новинка месяца</t>
  </si>
  <si>
    <t>ПООП</t>
  </si>
  <si>
    <t>К</t>
  </si>
  <si>
    <t>Ш</t>
  </si>
  <si>
    <t>307200.03.01</t>
  </si>
  <si>
    <t>1С: Предприятие. Проект.прилож.: Уч.пос. / Э.Г.Дадян - М.:Вуз.уч., НИЦ ИНФРА-М,2017 - 288с(п)</t>
  </si>
  <si>
    <t>1С: ПРЕДПРИЯТИЕ. ПРОЕКТИРОВАНИЕ  ПРИЛОЖЕНИЙ</t>
  </si>
  <si>
    <t>Дадян Э.Г.</t>
  </si>
  <si>
    <t>Переплет 7БЦ</t>
  </si>
  <si>
    <t>Вузовский учебник</t>
  </si>
  <si>
    <t>978-5-9558-0394-4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</si>
  <si>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</si>
  <si>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</si>
  <si>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</si>
  <si>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ВО - Бакалавриат</t>
  </si>
  <si>
    <t>38.04.01, 38.04.05, 38.03.01, 38.03.05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</si>
  <si>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подготовки 080100 «Экономика" (квалификация (степень) - бакалавр)</t>
  </si>
  <si>
    <t>Финансовый университет при Правительстве Российской Федерации</t>
  </si>
  <si>
    <t>0114</t>
  </si>
  <si>
    <t>165450.10.01</t>
  </si>
  <si>
    <t>454 вопроса по менеджменту: Уч.пос. / Т.Б.Борискина-М.:НИЦ ИНФРА-М,2024.-100 с..-(ВО)(о)</t>
  </si>
  <si>
    <t>454 ВОПРОСА ПО МЕНЕДЖМЕНТУ</t>
  </si>
  <si>
    <t>Борискина Т.Б., Пескова О.С.</t>
  </si>
  <si>
    <t>Обложка. КБС</t>
  </si>
  <si>
    <t>НИЦ ИНФРА-М</t>
  </si>
  <si>
    <t>Высшее образование</t>
  </si>
  <si>
    <t>978-5-16-018604-7</t>
  </si>
  <si>
    <t>ОБЩЕСТВЕННЫЕ НАУКИ.  ЭКОНОМИКА. ПРАВО</t>
  </si>
  <si>
    <t>Управление (менеджмент)</t>
  </si>
  <si>
    <t>Профессиональное образование</t>
  </si>
  <si>
    <t>15.02.07, 35.02.12, 08.02.01, 08.02.04, 40.02.01, 38.02.07, 38.02.01, 38.02.03, 38.04.04, 38.03.02, 38.03.04, 44.03.05, 41.03.06</t>
  </si>
  <si>
    <t>Рекомендовано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</t>
  </si>
  <si>
    <t>Волгоградский государственный технический университет</t>
  </si>
  <si>
    <t>0112</t>
  </si>
  <si>
    <t>665721.08.01</t>
  </si>
  <si>
    <t>Government Relations: теория, стратегии и национал.практ..:Уч. / Р.Т.Мухаев-М.:НИЦ ИНФРА-М,2024-393с(П)</t>
  </si>
  <si>
    <t>GOVERNMENT RELATIONS: ТЕОРИЯ, СТРАТЕГИИ И НАЦИОНАЛЬНЫЕ ПРАКТИКИ. ПОЛНОЕ РУКОВОДСТВО</t>
  </si>
  <si>
    <t>Мухаев Р.Т.</t>
  </si>
  <si>
    <t>Переплет 7БЦ/Без шитья</t>
  </si>
  <si>
    <t>978-5-16-019054-9</t>
  </si>
  <si>
    <t>Учебник</t>
  </si>
  <si>
    <t>41.03.04, 42.03.01, 42.04.01, 41.04.04, 38.04.04, 38.03.04</t>
  </si>
  <si>
    <t>Рекомендовано Учебно-методическим советом ВО в качестве учебника для студентов высших учебных заведений, обучающихся по направлениям подготовки 38.03.04 «Государственное и муниципальное управление», 43.03.01 «Реклама и связи с общественностью», 41.03.04 «Политология» (квалификация (степень) «бакалавр»)</t>
  </si>
  <si>
    <t>Российский экономический университет им. Г.В. Плеханова</t>
  </si>
  <si>
    <t>0118</t>
  </si>
  <si>
    <t>467250.07.01</t>
  </si>
  <si>
    <t>HR в СТАРТАПе: практ. пос./ В.В.Музыченко-М.:НИЦ ИНФРА-М,2024.-224 с..-(Просто, кратко, быстро)(о)</t>
  </si>
  <si>
    <t>HR В СТАРТАПЕ</t>
  </si>
  <si>
    <t>Музыченко В.В.</t>
  </si>
  <si>
    <t>Просто, кратко, быстро</t>
  </si>
  <si>
    <t>978-5-16-009804-3</t>
  </si>
  <si>
    <t>Практическое пособие</t>
  </si>
  <si>
    <t>Дополнительное образование / Дополнительное профессиональное образование</t>
  </si>
  <si>
    <t>15.02.07, 08.02.01, 08.02.04, 40.02.01, 38.02.07, 38.02.01, 38.02.03, 38.04.02, 38.04.03, 38.03.02, 38.03.03, 44.03.05</t>
  </si>
  <si>
    <t>Нью-Йоркская академия наук</t>
  </si>
  <si>
    <t>0115</t>
  </si>
  <si>
    <t>771134.01.01</t>
  </si>
  <si>
    <t>Project management: Управ. проектами: Уч. / Д.Д.Цителадзе-М.:НИЦ ИНФРА-М,2023.-339 с.(ВО)(п)(на англ.)</t>
  </si>
  <si>
    <t>PROJECT MANAGEMENT: УПРАВЛЕНИЕ ПРОЕКТАМИ</t>
  </si>
  <si>
    <t>Цителадзе Д.Д.</t>
  </si>
  <si>
    <t>978-5-16-017502-7</t>
  </si>
  <si>
    <t>38.03.10, 38.04.02, 38.03.01, 38.03.05, 38.03.06, 38.03.02, 38.03.04, 38.03.03</t>
  </si>
  <si>
    <t>Национальный исследовательский университет "Высшая школа экономики"</t>
  </si>
  <si>
    <t>Июль, 2023</t>
  </si>
  <si>
    <t>0123</t>
  </si>
  <si>
    <t>450454.0026.01</t>
  </si>
  <si>
    <t>Russian journal of management, 2017, № 4</t>
  </si>
  <si>
    <t>RUSSIAN JOURNAL OF MANAGEMENT, 2017, № 4</t>
  </si>
  <si>
    <t>Резник С.Д.</t>
  </si>
  <si>
    <t>ИЦ РИОР</t>
  </si>
  <si>
    <t>Журнал</t>
  </si>
  <si>
    <t>479850.04.01</t>
  </si>
  <si>
    <t>Автономные учреждения: порядок создания и функционир.:Уч. пос./О.В.Костина-Альфа-М,ИНФРА-М,2023-224с</t>
  </si>
  <si>
    <t>АВТОНОМНЫЕ УЧРЕЖДЕНИЯ: ПОРЯДОК СОЗДАНИЯ И ФУНКЦИОНИРОВАНИЯ</t>
  </si>
  <si>
    <t>Костина О.В.</t>
  </si>
  <si>
    <t>Альфа-М</t>
  </si>
  <si>
    <t>Высшая школа Бакалавриат</t>
  </si>
  <si>
    <t>978-5-98281-408-1</t>
  </si>
  <si>
    <t>38.04.01, 38.04.02, 38.04.04, 38.05.01, 38.03.01, 38.03.02, 38.03.04</t>
  </si>
  <si>
    <t>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заведений, обучающихся по специальности 08.01.01 Экономическая безопасность</t>
  </si>
  <si>
    <t>Югорский государственный университет</t>
  </si>
  <si>
    <t>279500.08.01</t>
  </si>
  <si>
    <t>Адаптация персонала  в российских организациях..: Моногр. /А.Н.Прошина-М.: НИЦ ИНФРА-М,2023-124с.(о)</t>
  </si>
  <si>
    <t>АДАПТАЦИЯ ПЕРСОНАЛА В РОССИЙСКИХ ОРГАНИЗАЦИЯХ:СОЦИАЛЬНО-УПРАВЛЕНЧЕСКИЙ АНАЛИЗ(НА ПРИМЕРЕ РАБОТНИКОВ С ОГРАНИЧЕННЫМИ ВОЗМОЖНОСТЯМИ)</t>
  </si>
  <si>
    <t>Прошина А.Н.</t>
  </si>
  <si>
    <t>Научная мысль</t>
  </si>
  <si>
    <t>978-5-16-009821-0</t>
  </si>
  <si>
    <t>Монография</t>
  </si>
  <si>
    <t>38.04.03, 38.03.01, 38.03.03, 44.03.01, 41.03.06</t>
  </si>
  <si>
    <t>Российская академия народного хозяйства и государственной службы при Президенте РФ</t>
  </si>
  <si>
    <t>335300.05.01</t>
  </si>
  <si>
    <t>Адаптивные организационные структуры управления..: Моногр. /Л.Э.Комаева -М.:НИЦ ИНФРА-М,2024-200с.(О)</t>
  </si>
  <si>
    <t>АДАПТИВНЫЕ ОРГАНИЗАЦИОННЫЕ СТРУКТУРЫ УПРАВЛЕНИЯ ПРЕДПРИЯТИЯМИ В НЕСТАБИЛЬНОЙ СРЕДЕ ХОЗЯЙСТВОВАНИЯ</t>
  </si>
  <si>
    <t>Л.Э.Комаева, М.Р.Дзагоева, З.Л.Дзакоев</t>
  </si>
  <si>
    <t>978-5-16-010670-0</t>
  </si>
  <si>
    <t>38.04.01, 38.04.02, 38.04.04, 38.06.01, 38.03.01, 38.03.02, 38.03.04</t>
  </si>
  <si>
    <t>Владикавказский институт управления</t>
  </si>
  <si>
    <t>083080.14.01</t>
  </si>
  <si>
    <t>Административный менеджмент: Уч. / А.В.Райченко-М.:НИЦ ИНФРА-М,2024.-416 с.(Уч.и для программы MBA)(п)</t>
  </si>
  <si>
    <t>АДМИНИСТРАТИВНЫЙ МЕНЕДЖМЕНТ</t>
  </si>
  <si>
    <t>Райченко А. В.</t>
  </si>
  <si>
    <t>Учебники для программы MBA</t>
  </si>
  <si>
    <t>978-5-16-018769-3</t>
  </si>
  <si>
    <t>38.04.02, 38.03.02, 41.03.06</t>
  </si>
  <si>
    <t>Допущено Министерством образования РФ в качестве учебного пособия для слушателей образовательных учреждений, обучающихся по программе MBA и другим программам подготовки управленческих кадров</t>
  </si>
  <si>
    <t>Государственный университет управления</t>
  </si>
  <si>
    <t>0107</t>
  </si>
  <si>
    <t>750135.04.01</t>
  </si>
  <si>
    <t>Актуальные модели гос. и регионал. политики: Моногр. / Б.С.Павлов -  М.:НИЦ ИНФРА-М,2024 - 154 с.(О)</t>
  </si>
  <si>
    <t>АКТУАЛЬНЫЕ МОДЕЛИ ГОСУДАРСТВЕННОЙ И РЕГИОНАЛЬНОЙ ПОЛИТИКИ В СФЕРЕ ПАТРИОТИЧЕСКОГО ВОСПИТАНИЯ</t>
  </si>
  <si>
    <t>Павлов Б.С., Гогиберидзе Г.М., Пацула А.В.</t>
  </si>
  <si>
    <t>978-5-16-016870-8</t>
  </si>
  <si>
    <t>44.04.02, 44.04.01, 44.06.01, 44.03.01, 44.03.02</t>
  </si>
  <si>
    <t>Институт экономики Уральского отделения Российской академии наук</t>
  </si>
  <si>
    <t>0121</t>
  </si>
  <si>
    <t>656212.05.01</t>
  </si>
  <si>
    <t>Актуальные пробл. управ. персоналом: Моббинг: Уч.пос. / И.Б.Дуракова-М.:НИЦ ИНФРА-М,2024.-226 с.(ВО)(п)</t>
  </si>
  <si>
    <t>АКТУАЛЬНЫЕ ПРОБЛЕМЫ УПРАВЛЕНИЯ ПЕРСОНАЛОМ: МОББИНГ</t>
  </si>
  <si>
    <t>Дуракова И.Б., Корыстина Е.С.</t>
  </si>
  <si>
    <t>Высшее образование: Магистратура</t>
  </si>
  <si>
    <t>978-5-16-013423-9</t>
  </si>
  <si>
    <t>Профессиональное образование / ВО - Магистратура</t>
  </si>
  <si>
    <t>38.04.02, 38.04.03, 38.04.04, 38.03.02, 38.03.04, 38.03.03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</si>
  <si>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38.04.02 «Менеджмент», 38.04.03 «Управление персоналом», 38.04.04 «Государственное и муниципальное управление» (квалификация (степень) «магистр»)</t>
  </si>
  <si>
    <t>Воронежский государственный университет</t>
  </si>
  <si>
    <t>656213.07.01</t>
  </si>
  <si>
    <t>Актуальные проблемы упр. персоналом...: Уч.пос. / И.Б.Дуракова - М.:НИЦ ИНФРА-М,2024 - 191 с.(ВО)(П)</t>
  </si>
  <si>
    <t>АКТУАЛЬНЫЕ ПРОБЛЕМЫ УПРАВЛЕНИЯ ПЕРСОНАЛОМ: РАБОТНИКИ СТАРШИХ ВОЗРАСТОВ</t>
  </si>
  <si>
    <t>Дуракова И.Б., Талтынов С.М., Майер Е.В.</t>
  </si>
  <si>
    <t>978-5-16-014274-6</t>
  </si>
  <si>
    <t>38.04.03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</si>
  <si>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38.04.03 «Управление персоналом», 38.04.02 «Менеджмент» (квалификация (степень) «магистр»)</t>
  </si>
  <si>
    <t>268900.07.01</t>
  </si>
  <si>
    <t>Анализ денежных потоков орг.: Сб. зад.: Уч. пос./Н.А.Алексеева - М.: ИНФРА-М, 2023-159с.(ВО) (о)</t>
  </si>
  <si>
    <t>АНАЛИЗ ДЕНЕЖНЫХ ПОТОКОВ ОРГАНИЗАЦИИ: СБОРНИК ЗАДАЧ (С МЕТОДИЧЕСКИМИ РЕКОМЕНДАЦИЯМИ И ОТВЕТАМИ К РЕШЕНИЮ ЗАДАЧ)</t>
  </si>
  <si>
    <t>Алексеева Н. А.</t>
  </si>
  <si>
    <t>Высшее образование: Бакалавриат</t>
  </si>
  <si>
    <t>978-5-16-009623-0</t>
  </si>
  <si>
    <t>38.04.09, 38.04.07, 38.04.01, 38.04.08, 38.04.06, 38.04.02, 38.04.04, 38.05.01, 38.05.02, 38.03.01, 38.03.06, 38.03.07, 38.03.02, 38.03.04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</si>
  <si>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«Экономика» (уровень бакалавриата)</t>
  </si>
  <si>
    <t>Удмуртский государственный аграрный университет</t>
  </si>
  <si>
    <t>734725.01.01</t>
  </si>
  <si>
    <t>Анализ и обоснование финансовых решений: Уч. / Е.Б.Герасимова-М.:НИЦ ИНФРА-М,2023.-220 с.(ВО)(П)</t>
  </si>
  <si>
    <t>АНАЛИЗ И ОБОСНОВАНИЕ ФИНАНСОВЫХ РЕШЕНИЙ</t>
  </si>
  <si>
    <t>Герасимова Е.Б.</t>
  </si>
  <si>
    <t>Высшее образование: Магистратура (Финуниверситет)</t>
  </si>
  <si>
    <t>978-5-16-016913-2</t>
  </si>
  <si>
    <t>38.04.01, 38.04.02, 38.04.05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</si>
  <si>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6 от 08.06.2022)</t>
  </si>
  <si>
    <t>Ноябрь, 2022</t>
  </si>
  <si>
    <t>089500.14.01</t>
  </si>
  <si>
    <t>Анализ и управление рисками орг.: Уч.пос. / Н.А.Рыхтикова, - 3 изд.-М.:НИЦ ИНФРА-М,2024-248с.(П)</t>
  </si>
  <si>
    <t>АНАЛИЗ И УПРАВЛЕНИЕ РИСКАМИ ОРГАНИЗАЦИИ, ИЗД.3</t>
  </si>
  <si>
    <t>Рыхтикова Н.А.</t>
  </si>
  <si>
    <t>978-5-16-013163-4</t>
  </si>
  <si>
    <t>38.04.02, 38.03.02</t>
  </si>
  <si>
    <t>Рекомендовано в качестве учебного пособия 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</si>
  <si>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0318</t>
  </si>
  <si>
    <t>766502.02.01</t>
  </si>
  <si>
    <t>Анализ финансовой отчетности: Уч. / Е.В.Никифорова-М.:НИЦ ИНФРА-М,2023.-211 с.(ВО)(п)</t>
  </si>
  <si>
    <t>АНАЛИЗ ФИНАНСОВОЙ ОТЧЕТНОСТИ</t>
  </si>
  <si>
    <t>Никифорова Е.В., Боровицкая М.В., Куприянова Л.М. и др.</t>
  </si>
  <si>
    <t>Высшее образование (Финансовый университет)</t>
  </si>
  <si>
    <t>978-5-16-018591-0</t>
  </si>
  <si>
    <t>38.03.10, 38.04.02, 38.05.01, 38.05.02, 38.03.01, 38.03.06, 38.03.02, 38.03.04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</si>
  <si>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8 от 19.10.2022)</t>
  </si>
  <si>
    <t>153800.11.01</t>
  </si>
  <si>
    <t>Анализ, оценка и финансир. инновац. проектов: Уч.пос. / В.К.Проскурин, - 2 изд.-М.:Вуз. уч. НИЦ ИНФРА-М,2024.-136 с.(о)</t>
  </si>
  <si>
    <t>АНАЛИЗ, ОЦЕНКА И ФИНАНСИРОВАНИЕ ИННОВАЦИОННЫХ ПРОЕКТОВ, ИЗД.2</t>
  </si>
  <si>
    <t>Проскурин В.К.</t>
  </si>
  <si>
    <t>978-5-9558-0486-6</t>
  </si>
  <si>
    <t>05.03.03, 27.03.05, 02.04.03, 25.04.03, 25.04.04, 27.04.07, 38.04.02, 38.04.04, 22.04.02, 25.04.01, 25.04.02, 23.04.03, 27.04.01, 28.04.02, 15.04.04, 27.04.05, 19.04.02, 38.03.01, 38.03.02, 38.03.04</t>
  </si>
  <si>
    <t>0216</t>
  </si>
  <si>
    <t>457250.05.01</t>
  </si>
  <si>
    <t>Аналитическое моделир.финанс.сост.компании: Моногр./ Е.В.Негашев-М.:НИЦ ИНФРА-М,2018.-186 с.(О. КБС)</t>
  </si>
  <si>
    <t>АНАЛИТИЧЕСКОЕ МОДЕЛИРОВАНИЕ ФИНАНСОВОГО СОСТОЯНИЯ КОМПАНИИ</t>
  </si>
  <si>
    <t>Негашев Е. В.</t>
  </si>
  <si>
    <t>978-5-16-009397-0</t>
  </si>
  <si>
    <t>38.04.01, 38.04.08, 38.04.02, 38.03.01, 38.03.02, 41.03.06</t>
  </si>
  <si>
    <t>0113</t>
  </si>
  <si>
    <t>282400.09.01</t>
  </si>
  <si>
    <t>Антикоррупционная эксперт.норм.правовых акт..: Уч.пос. / С.Ю.Кабашов-М.:НИЦ ИНФРА-М,2023.-240с(П)</t>
  </si>
  <si>
    <t>АНТИКОРРУПЦИОННАЯ ЭКСПЕРТИЗА НОРМАТИВНЫХ ПРАВОВЫХ АКТОВ И ПРОЕКТОВ НОРМАТИВНЫХ ПРАВОВЫХ АКТОВ</t>
  </si>
  <si>
    <t>Кабашов С.Ю., Кабашов Ю.С.</t>
  </si>
  <si>
    <t>978-5-16-009878-4</t>
  </si>
  <si>
    <t>40.02.01, 40.02.02, 40.03.01, 40.04.01, 38.04.04, 40.05.01, 40.05.02, 40.05.03, 38.03.04, 44.03.05, 40.02.03</t>
  </si>
  <si>
    <t>Рекомендовано Советом Учебно-методического объединения по образованию вузов России в области менеджмента в качестве учебного пособия для студентов, обучающихся по направлению 38.03.04  «Государственное и муниципальное управление» (квалификация (степень) «бакалавр»)</t>
  </si>
  <si>
    <t>Башкирская академия государственной службы и управления при Главе Республики Башкортостан</t>
  </si>
  <si>
    <t>745646.01.01</t>
  </si>
  <si>
    <t>Антикоррупционная экспертиза норматив. правовых...: Уч.пос. / С.Ю.Кабашов-М.:НИЦ ИНФРА-М,2022.-240 с.(ВО)(П)</t>
  </si>
  <si>
    <t>АНТИКОРРУПЦИОННАЯ ЭКСПЕРТИЗА НОРМАТИВНЫХ ПРАВОВЫХ АКТОВ И ПРОЕКТОВ НОРМАТИВНЫХ ПРАВОВЫХ АКТОВ: ОРГАНИЗАЦИЯ И ВОПРОСЫ ДОКУМЕНТИРОВАНИЯ</t>
  </si>
  <si>
    <t>Высшее образование: Специалитет</t>
  </si>
  <si>
    <t>978-5-16-016538-7</t>
  </si>
  <si>
    <t>Профессиональное образование / ВО - Специалитет</t>
  </si>
  <si>
    <t>40.05.04, 38.04.09, 38.04.04, 40.05.01, 40.05.02, 40.05.03, 38.05.01, 38.05.02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</si>
  <si>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укрупненным группам специальностей 38.05.00 «Экономика и управление», 40.05.00 «Юриспруденция»  (протокол № 8 от 22.06.2020)</t>
  </si>
  <si>
    <t>35</t>
  </si>
  <si>
    <t>0122</t>
  </si>
  <si>
    <t>680753.09.01</t>
  </si>
  <si>
    <t>Антикоррупционная этика и служебное поведение / Под ред. Кучерова И.И. - М.:НИЦ ИНФРА-М,2024 - 124 с.(О)</t>
  </si>
  <si>
    <t>АНТИКОРРУПЦИОННАЯ ЭТИКА И СЛУЖЕБНОЕ ПОВЕДЕНИЕ</t>
  </si>
  <si>
    <t>Абузярова Н.А., Залоило М.В., Кузнецов В.И. и др.</t>
  </si>
  <si>
    <t>ИЗиСП</t>
  </si>
  <si>
    <t>978-5-16-013736-0</t>
  </si>
  <si>
    <t>Научно-практическое пособие</t>
  </si>
  <si>
    <t>40.03.01, 38.03.01, 38.03.04, 38.03.03, 44.03.05, 41.03.06</t>
  </si>
  <si>
    <t>405450.09.01</t>
  </si>
  <si>
    <t>Антикризисное бизнес-регулир.: Моногр. / Под ред. Ряховской А.Н., - 2 изд.-М.:Магистр, НИЦ ИНФРА-М,2023.-304 с.(П)</t>
  </si>
  <si>
    <t>АНТИКРИЗИСНОЕ БИЗНЕС-РЕГУЛИРОВАНИЕ, ИЗД.2</t>
  </si>
  <si>
    <t>Ряховская А. Н., Распопов В. М., Арсенова Е. В., Ряховская А. Н.</t>
  </si>
  <si>
    <t>Магистр</t>
  </si>
  <si>
    <t>978-5-9776-0499-4</t>
  </si>
  <si>
    <t>38.04.01, 38.04.08, 38.04.02, 38.03.01, 38.03.02</t>
  </si>
  <si>
    <t>0219</t>
  </si>
  <si>
    <t>405450.06.01</t>
  </si>
  <si>
    <t>Антикризисное бизнес-регулир.: Моногр. /А.Н.Ряховская и др. -М.:Магистр, НИЦ ИНФРА-М, 2019-240с.(О)</t>
  </si>
  <si>
    <t>АНТИКРИЗИСНОЕ БИЗНЕС-РЕГУЛИРОВАНИЕ</t>
  </si>
  <si>
    <t>978-5-9776-0247-1</t>
  </si>
  <si>
    <t>379200.07.01</t>
  </si>
  <si>
    <t>Антикризисное управ. как основа формир..: Моногр. /А.Н.Ряховская -М.:НИЦ ИНФРА-М,2024-169с(Науч.мысль)</t>
  </si>
  <si>
    <t>АНТИКРИЗИСНОЕ УПРАВЛЕНИЕ КАК ОСНОВА ФОРМИРОВАНИЯ МЕХАНИЗМА УСТОЙЧИВОГО РАЗВИТИЯ БИЗНЕСА</t>
  </si>
  <si>
    <t>Алферов В.Н., Кован С.Е., Кочетков Е.П. и др.</t>
  </si>
  <si>
    <t>978-5-16-011137-7</t>
  </si>
  <si>
    <t>38.06.01</t>
  </si>
  <si>
    <t>0116</t>
  </si>
  <si>
    <t>373600.13.01</t>
  </si>
  <si>
    <t>Антикризисное управление организацией: Уч. / Г.Д.Антонов - М.:НИЦ ИНФРА-М,2023 - 143 с.(ВО)(о)</t>
  </si>
  <si>
    <t>АНТИКРИЗИСНОЕ УПРАВЛЕНИЕ ОРГАНИЗАЦИЕЙ</t>
  </si>
  <si>
    <t>Антонов Г.Д., Иванова О.П., Тумин В.М., Трифонов В.А.</t>
  </si>
  <si>
    <t>978-5-16-018841-6</t>
  </si>
  <si>
    <t>15.02.07, 35.02.12, 08.02.01, 08.02.04, 40.02.01, 38.02.07, 38.02.01, 38.02.03, 38.03.01, 38.03.02, 44.03.05</t>
  </si>
  <si>
    <t>Допущено Учебно-методическим объединением вузов России по образованию в области производственного менеджмента для студентов высших учебных заведений, обучающихся по направлению подготовки 38.03.02 «Менеджмент» (профиль «Производственный менеджмент»), по магистерской программе «Производственный менеджмент», а также для студентов технологических направлений и специальностей в части их экономико-организационной и управленческой подготовки</t>
  </si>
  <si>
    <t>Институт повышения квалификации и профессиональной переподготовки кадров</t>
  </si>
  <si>
    <t>084950.10.01</t>
  </si>
  <si>
    <t>Антикризисное управление организацией: Уч. пос. / А.Т.Зуб - М.:ИД ФОРУМ:НИЦ Инфра-М,2022 - 256с.(ВО)(п)</t>
  </si>
  <si>
    <t>Зуб А.Т., Панина Е.М.</t>
  </si>
  <si>
    <t>ИД Форум</t>
  </si>
  <si>
    <t>978-5-8199-0327-8</t>
  </si>
  <si>
    <t>38.04.01, 38.04.06, 38.04.02, 38.04.03, 38.04.04, 38.03.01, 38.03.06, 38.03.02, 38.03.04, 38.03.03, 41.03.06</t>
  </si>
  <si>
    <t>Рекомендовано УМО по классическому университетскому образованию в качестве учебного пособия для студентов высших учебных заведений, обучающихся по направлению подготовки ВПО 030200 - "Политология"</t>
  </si>
  <si>
    <t>Московский государственный университет им. М.В. Ломоносова, факультет государственного управления</t>
  </si>
  <si>
    <t>071800.12.01</t>
  </si>
  <si>
    <t>Антикризисное управление: Уч.пос. / В.И.Орехов и др. - 2 изд. - М.:НИЦ ИНФРА-М,2019-268с(ВО)(П)</t>
  </si>
  <si>
    <t>АНТИКРИЗИСНОЕ УПРАВЛЕНИЕ, ИЗД.2</t>
  </si>
  <si>
    <t>Орехов В. И., Балдин К. В., Орехова Т. Р.</t>
  </si>
  <si>
    <t>978-5-16-006790-2</t>
  </si>
  <si>
    <t>38.03.01, 38.03.02</t>
  </si>
  <si>
    <t>Допущено Советом Учебно-методического объединения вузов России по образованию в области менеджмента в качестве учебного пособия для студентов высших учебных заведений, обучающихся по направлению подготовки 38.03.02 «Менеджмент»</t>
  </si>
  <si>
    <t>ДА</t>
  </si>
  <si>
    <t>Российская академия естественных наук</t>
  </si>
  <si>
    <t>0209</t>
  </si>
  <si>
    <t>351800.04.01</t>
  </si>
  <si>
    <t>Антикризисное управление: Уч.пос. / С.М.Васин - М.:ИЦ РИОР, НИЦ ИНФРА-М,2023-272с.(ВО)(П)</t>
  </si>
  <si>
    <t>АНТИКРИЗИСНОЕ УПРАВЛЕНИЕ</t>
  </si>
  <si>
    <t>Васин С.М., Шутов В.С.</t>
  </si>
  <si>
    <t>978-5-369-01557-5</t>
  </si>
  <si>
    <t>38.04.01, 38.04.02, 38.03.01, 38.03.02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</si>
  <si>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«Менеджмент» (квалификация (степень) «бакалавр»)</t>
  </si>
  <si>
    <t>Пензенский государственный университет архитектуры и строительства</t>
  </si>
  <si>
    <t>0117</t>
  </si>
  <si>
    <t>071800.16.01</t>
  </si>
  <si>
    <t>Антикризисное управление: Уч.пос./ В.И.Орехов и др., - 3 изд.-М.:НИЦ ИНФРА-М,2022.-541 с.(ВО)(п)</t>
  </si>
  <si>
    <t>АНТИКРИЗИСНОЕ УПРАВЛЕНИЕ, ИЗД.3</t>
  </si>
  <si>
    <t>Орехов В.И., Орехова Т.Р., Балдин К.В.</t>
  </si>
  <si>
    <t>978-5-16-018757-0</t>
  </si>
  <si>
    <t>0322</t>
  </si>
  <si>
    <t>107850.03.01</t>
  </si>
  <si>
    <t>Антикризисное управление: Шпаргалка-М.:ИЦ РИОР, НИЦ ИНФРА-М,.-126 с..-(Шпаргалка [отрывная])(О)</t>
  </si>
  <si>
    <t>Шпаргалка [отрывная]</t>
  </si>
  <si>
    <t>978-5-369-00511-8</t>
  </si>
  <si>
    <t>Шпаргалка</t>
  </si>
  <si>
    <t>38.03.01, 38.03.02, 38.03.04</t>
  </si>
  <si>
    <t>0109</t>
  </si>
  <si>
    <t>137900.09.01</t>
  </si>
  <si>
    <t>Антикризисный менеджмент: Моногр. / В.В.Кукушкина - М.: НИЦ ИНФРА-М, 2020.-328 с.-(Науч.мысль)(о)</t>
  </si>
  <si>
    <t>АНТИКРИЗИСНЫЙ МЕНЕДЖМЕНТ</t>
  </si>
  <si>
    <t>Кукушкина В.В.</t>
  </si>
  <si>
    <t>978-5-16-010797-4</t>
  </si>
  <si>
    <t>-</t>
  </si>
  <si>
    <t>0111</t>
  </si>
  <si>
    <t>734351.02.01</t>
  </si>
  <si>
    <t>Антикризисный менеджмент: Уч.пос. / В.И.Орехов - М.:НИЦ ИНФРА-М,2024 - 500 с.(ВО)(п)</t>
  </si>
  <si>
    <t>978-5-16-019277-2</t>
  </si>
  <si>
    <t>38.04.01, 38.03.02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</si>
  <si>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3 от 17.03.2021)</t>
  </si>
  <si>
    <t>774253.03.01</t>
  </si>
  <si>
    <t>Антимонопольное и тариф. регулир. в сис. гос. контроля РФ: Уч. / С.Г.Васин-М.:НИЦ ИНФРА-М,2024.-293с(ВО)(п)</t>
  </si>
  <si>
    <t>АНТИМОНОПОЛЬНОЕ И ТАРИФНОЕ РЕГУЛИРОВАНИЕ В СИСТЕМЕ ГОСУДАРСТВЕННОГО КОНТРОЛЯ РФ</t>
  </si>
  <si>
    <t>Бердников Д.В., Васин С.Г., Гавриленко Д.А. и др.</t>
  </si>
  <si>
    <t>978-5-16-017597-3</t>
  </si>
  <si>
    <t>38.04.02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</si>
  <si>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38.04.02 «Менеджмент», 40.04.01 «Юриспруденция» (квалификация (степень) «магистр») (протокол № 9 от 17.11.2022)</t>
  </si>
  <si>
    <t>Федеральная антимонопольная служба России</t>
  </si>
  <si>
    <t>636233.08.01</t>
  </si>
  <si>
    <t>Арт-менеджмент: Уч. / Е.Ф.Командышко - М.:НИЦ ИНФРА-М, 2022 - 194 с.-(ВО: Бакалавриат)(П)</t>
  </si>
  <si>
    <t>АРТ-МЕНЕДЖМЕНТ</t>
  </si>
  <si>
    <t>Командышко Е.Ф.</t>
  </si>
  <si>
    <t>978-5-16-012560-2</t>
  </si>
  <si>
    <t>53.04.06, 53.05.04, 38.03.02, 53.03.01, 53.03.03, 51.03.01, 51.03.02, 51.03.03</t>
  </si>
  <si>
    <t>Рекомендован к изданию Ученым советом федерального государственного бюджетного научного учреждения «Институт художественного образования и культурологии Российской академии образования». Рекомендовано  в качестве учебника для студентов высших учебных заведений, обучающихся по направлению подготовки 51.03.03 «Социально-культурная деятельность» (квалификация (степень) «бакалавр»)</t>
  </si>
  <si>
    <t>Российская академия образования</t>
  </si>
  <si>
    <t>636233.07.01</t>
  </si>
  <si>
    <t>Арт-менеджмент: уч. / Е.Ф.Командышко, - 2-е изд.-М.:НИЦ ИНФРА-М,2023.-249 с..-(ВО: Бакалавриат)(п)</t>
  </si>
  <si>
    <t>АРТ-МЕНЕДЖМЕНТ, ИЗД.2</t>
  </si>
  <si>
    <t>978-5-16-017422-8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</si>
  <si>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в области искусства и культуры (квалификация (степень) «бакалавр») (протокол № 10 от 21.12.2022)</t>
  </si>
  <si>
    <t>Февраль, 2023</t>
  </si>
  <si>
    <t>0223</t>
  </si>
  <si>
    <t>218100.09.01</t>
  </si>
  <si>
    <t>Аспиранты России:отбор,подготовка..:Моногр./С.Д.Резник-2изд.-М.:НИЦ ИНФРА-М,2023-236с(Науч.мысль)(о)</t>
  </si>
  <si>
    <t>АСПИРАНТЫ РОССИИ: ОТБОР, ПОДГОТОВКА К САМОСТОЯТЕЛЬНОЙ НАУЧНОЙ И ПЕДАГОГИЧЕСКОЙ ДЕЯТЕЛЬНОСТИ, ИЗД.2</t>
  </si>
  <si>
    <t>Резник С.Д., Макарова С.Н., Джевицкая Е.С. и др.</t>
  </si>
  <si>
    <t>978-5-16-006929-6</t>
  </si>
  <si>
    <t>40.03.01, 44.03.01, 44.03.05</t>
  </si>
  <si>
    <t>0213</t>
  </si>
  <si>
    <t>226300.09.01</t>
  </si>
  <si>
    <t>Аудит качества для постоянного улучш.: Уч.пос. / Ю.В.Сажин - М.:НИЦ ИНФРА-М,2023 - 112 с.(ВО)(П)</t>
  </si>
  <si>
    <t>АУДИТ КАЧЕСТВА ДЛЯ ПОСТОЯННОГО УЛУЧШЕНИЯ</t>
  </si>
  <si>
    <t>Сажин Ю. В., Плетнева Н. П.</t>
  </si>
  <si>
    <t>978-5-16-009010-8</t>
  </si>
  <si>
    <t>38.03.01, 38.03.02, 41.03.06</t>
  </si>
  <si>
    <t>Рекомендовано УМО по образованию в области статистики в качестве учебного пособия для студентов высших учебных заведений, обучающихся по экономическим направлениям</t>
  </si>
  <si>
    <t>Национальный исследовательский Мордовский государственный университет им. Н.П. Огарева</t>
  </si>
  <si>
    <t>068850.15.01</t>
  </si>
  <si>
    <t>Аутсорсинг и аутстаффинг: высокие тех. менед.: Уч.пос. / Б.А.Аникин - 4 изд.-М.:НИЦ ИНФРА-М,2022.-313 с.(ВО)(П)</t>
  </si>
  <si>
    <t>АУТСОРСИНГ И АУТСТАФФИНГ: ВЫСОКИЕ ТЕХНОЛОГИИ МЕНЕДЖМЕНТА, ИЗД.4</t>
  </si>
  <si>
    <t>Аникин Б.А., Рудая И.Л.</t>
  </si>
  <si>
    <t>978-5-16-016979-8</t>
  </si>
  <si>
    <t>38.00.00, 35.02.12, 42.03.01, 38.04.01, 38.04.02, 38.04.03, 38.04.04, 38.03.01, 38.03.02, 38.03.04, 38.03.03</t>
  </si>
  <si>
    <t>Рекомендовано Учебно-методическим объединением вузов России по образованию в области менеджмента в качестве учебного пособия для студентов образовательных организаций высшего образования</t>
  </si>
  <si>
    <t>0422</t>
  </si>
  <si>
    <t>068850.13.01</t>
  </si>
  <si>
    <t>Аутсорсинг и аутстаффинг: высокие тех. менед.: Уч.пос. / Б.А.Аникин -3 изд. - М.:НИЦ ИНФРА-М,2020-330с</t>
  </si>
  <si>
    <t>АУТСОРСИНГ И АУТСТАФФИНГ: ВЫСОКИЕ ТЕХНОЛОГИИ МЕНЕДЖМЕНТА, ИЗД.3</t>
  </si>
  <si>
    <t>978-5-16-011101-8</t>
  </si>
  <si>
    <t>Рекомендовано   Учебно-методическим объединением вузов России по образованию в области менеджмента в качестве учебного пособия для студентов образовательных организаций высшего образования</t>
  </si>
  <si>
    <t>0317</t>
  </si>
  <si>
    <t>212100.10.01</t>
  </si>
  <si>
    <t>Базисная система риск-менеджмента...: Моногр. / Д.В.Соколов - М.:НИЦ ИНФРА-М,2023 - 125 с.(Науч.мысль)(О)</t>
  </si>
  <si>
    <t>БАЗИСНАЯ СИСТЕМА РИСК-МЕНЕДЖМЕНТ ОРГАНИЗАЦИЙ РЕАЛЬНОГО СЕКТОРА ЭКОНОМИКИ</t>
  </si>
  <si>
    <t>Соколов Д.В., Барчуков А.В.</t>
  </si>
  <si>
    <t>978-5-16-006862-6</t>
  </si>
  <si>
    <t>38.04.02, 38.03.02, 44.03.05, 41.03.06</t>
  </si>
  <si>
    <t>Академия права и управления Федеральной службы исполнения наказаний</t>
  </si>
  <si>
    <t>325200.08.01</t>
  </si>
  <si>
    <t>Банковский менеджмент: Уч. / Ю.Ю. Русанов -М.: Магистр:  НИЦ ИНФРА-М, 2023-480 с. (Бакалавриат)(п)</t>
  </si>
  <si>
    <t>БАНКОВСКИЙ МЕНЕДЖМЕНТ</t>
  </si>
  <si>
    <t>Русанов Ю.Ю., Бадалов Л.А., Маганов В.В. и др.</t>
  </si>
  <si>
    <t>Бакалавриат</t>
  </si>
  <si>
    <t>978-5-9776-0355-3</t>
  </si>
  <si>
    <t>38.04.03, 38.03.02</t>
  </si>
  <si>
    <t>Рекомендовано Учебно-методическим объединением по образованию в области экономики в качестве учебника для студентов высших учебных заведений обучающихся по направлению 38.03.01 (080100) "Экономика» (квалификация (степень) «бакалавр») по профилям «Бан</t>
  </si>
  <si>
    <t>124922.11.01</t>
  </si>
  <si>
    <t>Банковский риск-менеджмент: Уч. пос./П.П.Ковалев - 2 изд. - М.: КУРС: ИНФРА-М, 2024-320с.(Магистр.) (п)</t>
  </si>
  <si>
    <t>БАНКОВСКИЙ РИСК-МЕНЕДЖМЕНТ, ИЗД.2</t>
  </si>
  <si>
    <t>Ковалев П. П.</t>
  </si>
  <si>
    <t>КУРС</t>
  </si>
  <si>
    <t>Магистратура</t>
  </si>
  <si>
    <t>978-5-905554-36-0</t>
  </si>
  <si>
    <t>38.04.01, 38.04.02</t>
  </si>
  <si>
    <t>Траст</t>
  </si>
  <si>
    <t>638007.09.01</t>
  </si>
  <si>
    <t>Бизнес по правилам: регламенты должны работать: Практ.пос. / В.В.Репин - М.:НИЦ ИНФРА-М,2024 - 347 с.(П)</t>
  </si>
  <si>
    <t>БИЗНЕС ПО ПРАВИЛАМ: РЕГЛАМЕНТЫ ДОЛЖНЫ РАБОТАТЬ</t>
  </si>
  <si>
    <t>Репин В.В.</t>
  </si>
  <si>
    <t>978-5-16-012221-2</t>
  </si>
  <si>
    <t>43.02.10, 38.02.01, 38.04.02, 38.03.01, 38.03.02, 44.03.01</t>
  </si>
  <si>
    <t>754705.02.01</t>
  </si>
  <si>
    <t>Бизнес-анализ и упр. рисками: Уч. / Н.А.Казакова - М.:НИЦ ИНФРА-М,2023-336 с.(ВО: Магистр. (РЭУ))(П)</t>
  </si>
  <si>
    <t>БИЗНЕС-АНАЛИЗ И УПРАВЛЕНИЕ РИСКАМИ</t>
  </si>
  <si>
    <t>Казакова Н.А., Иванова А.Н.</t>
  </si>
  <si>
    <t>Высшее образование: Магистратура (РЭУ)</t>
  </si>
  <si>
    <t>978-5-16-016958-3</t>
  </si>
  <si>
    <t>38.04.01, 38.04.02, 38.05.01, 38.03.01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</si>
  <si>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38.04.01 «Экономика», 38.04.02 «Менеджмент», 38.04.08 «Финансы и кредит» (квалификация (степень) «магистр») (протокол № 1 от 12.01.2022)</t>
  </si>
  <si>
    <t>415300.11.01</t>
  </si>
  <si>
    <t>Бизнес-аналитика средствами Excel: Уч.пос. / Я.Л.Гобарева - 3 изд. - М.:Вуз.уч.,НИЦ ИНФРА-М,2023 - 350с(П)</t>
  </si>
  <si>
    <t>БИЗНЕС-АНАЛИТИКА СРЕДСТВАМИ EXCEL, ИЗД.3</t>
  </si>
  <si>
    <t>Гобарева Я.Л., Городецкая О.Ю., Золотарюк А.В.</t>
  </si>
  <si>
    <t>978-5-9558-0560-3</t>
  </si>
  <si>
    <t>43.02.10, 38.02.01, 38.03.01, 38.03.02, 44.03.01</t>
  </si>
  <si>
    <t>Рекомендовано в качестве учебного пособия для студентов, обучающихся по направлению подготовки 38.03.01 «Экономика» (квалификация (степень) «бакалавр»)</t>
  </si>
  <si>
    <t>415300.05.01</t>
  </si>
  <si>
    <t>Бизнес-аналитика средствами Excel: Уч.пос. / Я.Л.Гобарева- 2изд., -М.:Вуз.уч., НИЦ ИНФРА-М,2017-336с</t>
  </si>
  <si>
    <t>БИЗНЕС-АНАЛИТИКА СРЕДСТВАМИ EXCEL, ИЗД.2</t>
  </si>
  <si>
    <t>Финансовый университет при Правительстве РФ</t>
  </si>
  <si>
    <t>978-5-9558-0390-6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</si>
  <si>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направлению «Экономика» (квалификация (степень) — «бакалавр»)</t>
  </si>
  <si>
    <t>0215</t>
  </si>
  <si>
    <t>140500.08.01</t>
  </si>
  <si>
    <t>Бизнес-планирование с исп. прогр. Project Expert: Уч.пос. / В.С.Алиев, - 2 изд.-М.:НИЦ ИНФРА-М,2022.-382с.(П)</t>
  </si>
  <si>
    <t>БИЗНЕС-ПЛАНИРОВАНИЕ С ИСПОЛЬЗОВАНИЕМ ПРОГРАММЫ PROJECT EXPERT (ПОЛНЫЙ КУРС), ИЗД.2</t>
  </si>
  <si>
    <t>Алиев В.С., Чистов Д.В.</t>
  </si>
  <si>
    <t>978-5-16-016867-8</t>
  </si>
  <si>
    <t>43.02.10, 38.02.01, 38.04.01, 38.04.08, 38.04.06, 38.04.02, 38.04.05, 38.03.01, 38.03.05, 38.03.06, 38.03.02, 44.03.01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</si>
  <si>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направлениям подготовки «Финансы и кредит», «Бухгалтерский учет, анализ и аудит», «Налоги и налогообложение»</t>
  </si>
  <si>
    <t>0222</t>
  </si>
  <si>
    <t>140500.07.01</t>
  </si>
  <si>
    <t>Бизнес-планирование с исп. прогр.Project Expert: Уч.пос. /В.С.Алиев-М.:НИЦ ИНФРА-М,2019-352с.(ВО)</t>
  </si>
  <si>
    <t>БИЗНЕС-ПЛАНИРОВАНИЕ С ИСПОЛЬЗОВАНИЕМ ПРОГРАММЫ PROJECT EXPERT (ПОЛНЫЙ КУРС)</t>
  </si>
  <si>
    <t>Алиев В. С., Чистов Д. В.</t>
  </si>
  <si>
    <t>978-5-16-006431-4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</si>
  <si>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«Финансы и кредит», «Бухгалтерский учет, анализ и аудит», «Налоги и налогообложение»</t>
  </si>
  <si>
    <t>081850.11.01</t>
  </si>
  <si>
    <t>Бизнес-планирование: прак. по использовани с исп. Project..: Уч.пос./В.С.Алиев-3изд-ИНФРА-М,2024-287(ВО)(П)</t>
  </si>
  <si>
    <t>БИЗНЕС-ПЛАНИРОВАНИЕ: ПРАКТИКУМ С ИСПОЛЬЗОВАНИЕМ ПРОГРАММЫ PROJECT EXPERT, ИЗД.3</t>
  </si>
  <si>
    <t>Алиев В.С.</t>
  </si>
  <si>
    <t>Высшее образование: Бакалавриат (Финуниверситет)</t>
  </si>
  <si>
    <t>978-5-16-016877-7</t>
  </si>
  <si>
    <t>43.02.10, 38.02.01, 38.03.01, 38.03.02, 44.03.01, 41.03.06</t>
  </si>
  <si>
    <t>Допущено УМО по образованию в области финансов, учета и мировой экономики в качестве учебного пособия для студентов, обучающихся по направлению подготовки «Экономика и управление»</t>
  </si>
  <si>
    <t>0323</t>
  </si>
  <si>
    <t>056100.21.01</t>
  </si>
  <si>
    <t>Бизнес-процессы: Регламентация и управление: Уч./ В.Г.Елиферов - М.:НИЦ ИНФРА-М,2024 - 319 с.(П)</t>
  </si>
  <si>
    <t>БИЗНЕС-ПРОЦЕССЫ: РЕГЛАМЕНТАЦИЯ И УПРАВЛЕНИЕ</t>
  </si>
  <si>
    <t>Елиферов В. Г., Репин В. В.</t>
  </si>
  <si>
    <t>978-5-16-001825-6</t>
  </si>
  <si>
    <t>43.02.10, 38.02.01, 27.04.07, 38.03.01, 38.03.06, 38.03.02, 44.03.01, 41.03.06</t>
  </si>
  <si>
    <t>Допущено Министерством образования Российской Федерации в качестве учебника для слушателей образовательных учреждений, обучающихся по программе МВА и другим программам подготовки управленческих кадров</t>
  </si>
  <si>
    <t>0104</t>
  </si>
  <si>
    <t>636223.05.01</t>
  </si>
  <si>
    <t>Бренд-менеджмент: Уч.пос. / О.Г.Кузьмина - М.:ИЦ РИОР, НИЦ ИНФРА-М,2024 - 176 с.-(ВО)(о)</t>
  </si>
  <si>
    <t>БРЕНД-МЕНЕДЖМЕНТ</t>
  </si>
  <si>
    <t>Кузьмина О.Г.</t>
  </si>
  <si>
    <t>978-5-369-01614-5</t>
  </si>
  <si>
    <t>38.03.06, 38.03.07, 38.03.02</t>
  </si>
  <si>
    <t>165000.05.01</t>
  </si>
  <si>
    <t>Введение в менеджмент: уч.пос. / Под ред. Резник С.Д., - 2-е изд., доп.-М.:НИЦ ИНФРА-М,2018.-416 с..-(Менеджмент в высшей школе)(П 7БЦ)</t>
  </si>
  <si>
    <t>ВВЕДЕНИЕ В МЕНЕДЖМЕНТ, ИЗД.2</t>
  </si>
  <si>
    <t>Резник С.Д., Игошина И.А., Резник С.Д.</t>
  </si>
  <si>
    <t>Менеджмент в высшей школе</t>
  </si>
  <si>
    <t>978-5-16-005164-2</t>
  </si>
  <si>
    <t>38.04.02, 38.04.03, 38.03.01, 38.03.02, 38.03.04, 38.03.03</t>
  </si>
  <si>
    <t>Рекомендовано  Учебно-методическим объединением по образованию в области менеджмента в качестве учебного пособия для студентов вузов,обучающихся по направлению 080200 "Менеджмент"</t>
  </si>
  <si>
    <t>0212</t>
  </si>
  <si>
    <t>165000.07.01</t>
  </si>
  <si>
    <t>Введение в менеджмент: Уч.пос. / Под ред. Резника С.Д. - 3 изд. - М.:НИЦ ИНФРА-М,2022 - 416 с.(П)</t>
  </si>
  <si>
    <t>ВВЕДЕНИЕ В МЕНЕДЖМЕНТ, ИЗД.3</t>
  </si>
  <si>
    <t>0320</t>
  </si>
  <si>
    <t>160200.10.01</t>
  </si>
  <si>
    <t>Введение в специальность. Менеджмент: Уч. / В.В.Кукушкина - М.: ИНФРА-М, 2023-252с. (ВО: Бакалавр.) (П)</t>
  </si>
  <si>
    <t>ВВЕДЕНИЕ В СПЕЦИАЛЬНОСТЬ. МЕНЕДЖМЕНТ</t>
  </si>
  <si>
    <t>Кукушкина В. В.</t>
  </si>
  <si>
    <t>978-5-16-004168-1</t>
  </si>
  <si>
    <t>Допущено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080200 Менеджмент и по специальности 080507 Менеджмент организации</t>
  </si>
  <si>
    <t>471150.07.01</t>
  </si>
  <si>
    <t>Внутренний аудит в совр.системе..: Практ.пос. / С.Н.Орлов - М.:ИНФРА-М,2024-284с.(Наука и практ.)(о)</t>
  </si>
  <si>
    <t>ВНУТРЕННИЙ АУДИТ В СОВРЕМЕННОЙ СИСТЕМЕ КОРПОРАТИВНОГО УПРАВЛЕНИЯ КОМПАНИЕЙ</t>
  </si>
  <si>
    <t>Орлов С.Н.</t>
  </si>
  <si>
    <t>Наука и практика</t>
  </si>
  <si>
    <t>978-5-16-010044-9</t>
  </si>
  <si>
    <t>38.04.02, 38.04.03, 38.03.02, 38.03.03</t>
  </si>
  <si>
    <t>319900.03.01</t>
  </si>
  <si>
    <t>Глобальная маркетинговая среда....: Моногр./ В.И.Черенков-М.:НИЦ ИНФРА-М,2018.-362с(О)</t>
  </si>
  <si>
    <t>ГЛОБАЛЬНАЯ МАРКЕТИНГОВАЯ СРЕДА:ОПЫТ КОНЦЕПТУАЛЬНОЙ ИНТЕГРАЦИИ</t>
  </si>
  <si>
    <t>Черенков В.И.</t>
  </si>
  <si>
    <t>978-5-16-010429-4</t>
  </si>
  <si>
    <t>38.04.01, 38.04.06, 38.04.02, 38.04.05, 38.06.01, 38.03.01, 38.03.05, 38.03.06, 38.03.02, 44.03.01, 44.03.05</t>
  </si>
  <si>
    <t>Санкт-Петербургский государственный университет</t>
  </si>
  <si>
    <t>300400.12.01</t>
  </si>
  <si>
    <t>Гостиничный менеджмент: Уч.пос. / Под ред. Зайцевой Н.А. - 2 изд.-М.:НИЦ ИНФРА-М,2024.-326 с.(ВО)(П)</t>
  </si>
  <si>
    <t>ГОСТИНИЧНЫЙ МЕНЕДЖМЕНТ, ИЗД.2</t>
  </si>
  <si>
    <t>Дмитриева Н.В., Зайцева Н.А., Огнева Е.А. и др.</t>
  </si>
  <si>
    <t>978-5-16-019372-4</t>
  </si>
  <si>
    <t>43.03.01, 43.03.03, 43.04.01, 43.04.03, 43.02.14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</si>
  <si>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направлению подготовки 43.03.03 «Гостиничное дело» (квалификация (степень) «бакалавр») (протокол № 5 от 16.03.2020)</t>
  </si>
  <si>
    <t>Российский государственный университет туризма и сервиса, ф-л Институт туризма и гостеприимства</t>
  </si>
  <si>
    <t>0220</t>
  </si>
  <si>
    <t>300400.08.01</t>
  </si>
  <si>
    <t>Гостиничный менеджмент: Уч.пос. / Под ред. Зайцевой Н.А. - М.:НИЦ ИНФРА-М,2022 - 352 с.(П)</t>
  </si>
  <si>
    <t>ГОСТИНИЧНЫЙ МЕНЕДЖМЕНТ</t>
  </si>
  <si>
    <t>Дмитриева Н.В., Зайцева Н.А., Огнева С.В. и др.</t>
  </si>
  <si>
    <t>978-5-16-016041-2</t>
  </si>
  <si>
    <t>Рекомендовано федеральным государственным бюджетным образовательным 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43.03.03 «Гостиничное дело» (квалификация (степень) «бакалавр») (регистрационный номер рецензии 329 от 02.07.2014 (ФГАУ ФИРО))</t>
  </si>
  <si>
    <t>645327.05.01</t>
  </si>
  <si>
    <t>Государственная и муниципальная служба: Уч. / Ю.П.Кузякин - М.:НИЦ ИНФРА-М,2023 - 284 с.(ВО)(П)</t>
  </si>
  <si>
    <t>ГОСУДАРСТВЕННАЯ И МУНИЦИПАЛЬНАЯ СЛУЖБА</t>
  </si>
  <si>
    <t>Кузякин Ю.П., Ермоленко А.А.</t>
  </si>
  <si>
    <t>978-5-16-018444-9</t>
  </si>
  <si>
    <t>40.03.01, 40.04.01, 38.04.04, 40.05.02, 38.03.04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</si>
  <si>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38.03.04 «Государственное и муниципальное управление», 40.03.01 «Юриспруденция» (квалификация (степень) бакалавр») (протокол  № 12 от 24.06.2019)</t>
  </si>
  <si>
    <t>0119</t>
  </si>
  <si>
    <t>657348.04.01</t>
  </si>
  <si>
    <t>Государственная кадровая полит. в Сов. Союзе и совр. России...: Моногр./ С.Н.Федорченко-М.:НИЦ ИНФРА-М,2020-154с.(П)</t>
  </si>
  <si>
    <t>ГОСУДАРСТВЕННАЯ КАДРОВАЯ ПОЛИТИКА В СОВЕТСКОМ СОЮЗЕ И СОВРЕМЕННОЙ РОССИИ: ПОЛИТИКО-ФИЛОСОФСКИЙ АНАЛИЗ</t>
  </si>
  <si>
    <t>Федорченко С.Н.</t>
  </si>
  <si>
    <t>978-5-16-012854-2</t>
  </si>
  <si>
    <t>38.04.03, 38.04.04, 38.03.01, 38.03.03, 41.03.06</t>
  </si>
  <si>
    <t>Государственный Университет Просвещения</t>
  </si>
  <si>
    <t>670456.02.01</t>
  </si>
  <si>
    <t>Государственная культурная полит. в Сибирск. федер. округе...: Моногр./Н.П.Копцева-М.:НИЦ ИНФРА-М,СФУ,2020-160с</t>
  </si>
  <si>
    <t>ГОСУДАРСТВЕННАЯ КУЛЬТУРНАЯ ПОЛИТИКА В СИБИРСКОМ ФЕДЕРАЛЬНОМ ОКРУГЕ: КОНЦЕПЦИИ, ПРОБЛЕМЫ, ИССЛЕДОВАНИЯ</t>
  </si>
  <si>
    <t>Копцева Н.П., Лузан В.С.</t>
  </si>
  <si>
    <t>Научная мысль (СФУ)</t>
  </si>
  <si>
    <t>978-5-16-013356-0</t>
  </si>
  <si>
    <t>Сибирский федеральный университет</t>
  </si>
  <si>
    <t>419950.07.01</t>
  </si>
  <si>
    <t>Государственная служба:основные этапы развития как..: Уч.пос. / С.Ю.Кабашов-М.:НИЦ ИНФРА-М,2024-286с(п)</t>
  </si>
  <si>
    <t>ГОСУДАРСТВЕННАЯ СЛУЖБА: ОСНОВНЫЕ ЭТАПЫ РАЗВИТИЯ КАК НАУКИ И ПРОФЕССИИ ОТ ДРЕВНЕГО МИРА ДО НАЧАЛА XX ВЕКА</t>
  </si>
  <si>
    <t>Кабашов С. Ю.</t>
  </si>
  <si>
    <t>978-5-16-019161-4</t>
  </si>
  <si>
    <t>38.04.04, 38.03.04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</si>
  <si>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38.03.04 «Государственное и муниципальное управление» (квалификация «бакалавр»)</t>
  </si>
  <si>
    <t>083700.11.01</t>
  </si>
  <si>
    <t>Государственное и муниципал.управ.с использ.информ..: Уч.пос./В.В.Иванов-М.:НИЦ ИНФРА-М,2021-383с(П)</t>
  </si>
  <si>
    <t>ГОСУДАРСТВЕННОЕ И МУНИЦИПАЛЬНОЕ УПРАВЛЕНИЕ С ИСПОЛЬЗОВАНИЕМ ИНФОРМАЦИОННЫХ ТЕХНОЛОГИЙ</t>
  </si>
  <si>
    <t>Иванов В. В., Коробова А. Н.</t>
  </si>
  <si>
    <t>Национальные проекты</t>
  </si>
  <si>
    <t>978-5-16-004281-7</t>
  </si>
  <si>
    <t>38.04.04, 38.03.04, 44.03.05</t>
  </si>
  <si>
    <t>Всероссийская академия внешней торговли Министерства экономического развития Российской Федерации</t>
  </si>
  <si>
    <t>0110</t>
  </si>
  <si>
    <t>072800.14.01</t>
  </si>
  <si>
    <t>Государственное и муниципальное упр..: Уч.пос. / Под ред.Коваленко Е.Г. - М.:НИЦ ИНФРА-М,2022-409с(ВО)</t>
  </si>
  <si>
    <t>ГОСУДАРСТВЕННОЕ И МУНИЦИПАЛЬНОЕ УПРАВЛЕНИЕ: ИТОГОВАЯ ГОСУДАРСТВЕННАЯ АТТЕСТАЦИЯ СТУДЕНТОВ</t>
  </si>
  <si>
    <t>Кормишкина Л.А., Еремин А.Р., Коваленко Е.Г.</t>
  </si>
  <si>
    <t>978-5-16-005450-6</t>
  </si>
  <si>
    <t>35.03.01, 38.04.02, 38.04.04, 38.03.02, 38.03.04, 44.03.05</t>
  </si>
  <si>
    <t>Допущено Советом Учебно-методического объединения вузов России по образованию в области менеджмента для использования в учебном процессе по специальности 080504 "Государственное и муниципальное управление"</t>
  </si>
  <si>
    <t>0106</t>
  </si>
  <si>
    <t>237800.05.01</t>
  </si>
  <si>
    <t>Государственное и муниципальное упр.: Уч. / Под ред. Захарова Н.И. - М.:НИЦ ИНФРА-М,2022 - 289 с.(ВО)(П)</t>
  </si>
  <si>
    <t>ГОСУДАРСТВЕННОЕ И МУНИЦИПАЛЬНОЕ УПРАВЛЕНИЕ</t>
  </si>
  <si>
    <t>Попов В.Д., Есин В.А., Шитова Ю.Ю. и др.</t>
  </si>
  <si>
    <t>978-5-16-009194-5</t>
  </si>
  <si>
    <t>Допущено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направлению подготовки 38.03.04 «Государственное и муниципальное управление» (квалификация (степень) «бакалавр»)</t>
  </si>
  <si>
    <t>747875.05.01</t>
  </si>
  <si>
    <t>Государственное и муниципальное упр.: Уч. / Р.Т.Мухаев - М.:НИЦ ИНФРА-М,2024 - 468 с.(ВО: Бакалавр.)(П)</t>
  </si>
  <si>
    <t>Мухаев Р.Т., Абрамов Р.А.</t>
  </si>
  <si>
    <t>978-5-16-016727-5</t>
  </si>
  <si>
    <t>38.04.04, 38.03.02, 38.03.04, 44.03.05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</si>
  <si>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38.03.04 «Государственное и муниципальное управление», 41.03.04 «Политология», 38.03.02 «Менеджмент» (квалификация (степень) «бакалавр») (протокол № 3 от 17.03.2021)</t>
  </si>
  <si>
    <t>151160.04.01</t>
  </si>
  <si>
    <t>Государственное и муниципальное упр.: Уч.пос. / В.П.Орешин,-2 изд.-М.:ИЦ РИОР, НИЦ ИНФРА-М,2019-178 с</t>
  </si>
  <si>
    <t>ГОСУДАРСТВЕННОЕ И МУНИЦИПАЛЬНОЕ УПРАВЛЕНИЕ, ИЗД.2</t>
  </si>
  <si>
    <t>Орешин В.П.</t>
  </si>
  <si>
    <t>ВО: Бакалавриат</t>
  </si>
  <si>
    <t>978-5-369-01551-3</t>
  </si>
  <si>
    <t>38.04.04, 38.03.04, 44.03.05, 51.03.02</t>
  </si>
  <si>
    <t>Московский государственный университет им. М.В. Ломоносова, экономический факультет</t>
  </si>
  <si>
    <t>682905.04.01</t>
  </si>
  <si>
    <t>Государственное регулир.нефтегаз. комплекса...: Моногр./ С.Е.Трофимов - М.:НИЦ ИНФРА-М,2022 - 156 с.(O)</t>
  </si>
  <si>
    <t>ГОСУДАРСТВЕННОЕ РЕГУЛИРОВАНИЕ НЕФТЕГАЗОВОГО КОМПЛЕКСА: СОСТОЯНИЕ, ПРОБЛЕМЫ И ПЕРСПЕКТИВЫ</t>
  </si>
  <si>
    <t>Трофимов С.Е.</t>
  </si>
  <si>
    <t>978-5-16-015914-0</t>
  </si>
  <si>
    <t>38.04.01, 38.03.01, 44.03.01</t>
  </si>
  <si>
    <t>Байкальский государственный университет</t>
  </si>
  <si>
    <t>212400.04.01</t>
  </si>
  <si>
    <t>Государственное регулирование экономики: Уч. / И.С.Цыпин -М.:НИЦ ИНФРА-М,2018-296с.(ВО:Бакалавр.)(П)</t>
  </si>
  <si>
    <t>ГОСУДАРСТВЕННОЕ РЕГУЛИРОВАНИЕ ЭКОНОМИКИ</t>
  </si>
  <si>
    <t>Цыпин И.С., Веснин В.Р.</t>
  </si>
  <si>
    <t>978-5-16-006866-4</t>
  </si>
  <si>
    <t>38.02.07, 38.03.01, 38.03.02, 44.03.01, 41.03.06</t>
  </si>
  <si>
    <t>Рекомендовано Советом Учебно-методического объединения по образованию в области менеджмента в качестве учебника для обучающихся по программам высшего образования направлений подготовки 38.03.02 «Менеджмент», 38.03.04 «Государственное и муниципальное управление» (квалификация (степень) «бакалавр»)</t>
  </si>
  <si>
    <t>Московский политехнический университет</t>
  </si>
  <si>
    <t>060550.15.01</t>
  </si>
  <si>
    <t>Государственное упр. эконом.и соц. процес.: Уч.пос. / Б.А.Райзберг - НИЦ ИНФРА-М,2024 - 384 с/(ВО)(п)</t>
  </si>
  <si>
    <t>ГОСУДАРСТВЕННОЕ УПРАВЛЕНИЕ ЭКОНОМИЧЕСКИМИ И СОЦИАЛЬНЫМИ ПРОЦЕССАМИ</t>
  </si>
  <si>
    <t>Райзберг Б. А.</t>
  </si>
  <si>
    <t>978-5-16-018766-2</t>
  </si>
  <si>
    <t>38.04.01, 38.04.02, 38.04.04, 38.03.01, 38.03.02, 38.03.04</t>
  </si>
  <si>
    <t>Рекомендовано в качестве учебного пособия для студентов высших учебных заведений обучающихся по направлению подготовки 38.03.01 «Экономика»,(квалификация (степень) «бакалавр»)</t>
  </si>
  <si>
    <t>Московская Школа Экономики</t>
  </si>
  <si>
    <t>0105</t>
  </si>
  <si>
    <t>729518.03.01</t>
  </si>
  <si>
    <t>Государственное управ. и гос. служба в совр. России: Моногр./ В.П.Уманская-М.:Юр.Норма,2023.-176 с.(П)</t>
  </si>
  <si>
    <t>ГОСУДАРСТВЕННОЕ УПРАВЛЕНИЕ И ГОСУДАРСТВЕННАЯ СЛУЖБА В СОВРЕМЕННОЙ РОССИИ</t>
  </si>
  <si>
    <t>Уманская В.П., Малеванова Ю.В.</t>
  </si>
  <si>
    <t>Юр. НОРМА</t>
  </si>
  <si>
    <t>978-5-00156-047-0</t>
  </si>
  <si>
    <t>40.03.01, 40.04.01, 40.06.01</t>
  </si>
  <si>
    <t>Всероссийский государственный университет юстиции (РПА Минюста России)</t>
  </si>
  <si>
    <t>0120</t>
  </si>
  <si>
    <t>641116.04.01</t>
  </si>
  <si>
    <t>Государственный аппарат России. Дружинно-княж.период:Моногр./ С.Ю.Кабашов-М.:НИЦ ИНФРА-М,2023-304с.(п)</t>
  </si>
  <si>
    <t>ГОСУДАРСТВЕННЫЙ АППАРАТ РОССИИ. ДРУЖИННО-КНЯЖЕСКИЙ ПЕРИОД</t>
  </si>
  <si>
    <t>Кабашов С.Ю.</t>
  </si>
  <si>
    <t>978-5-16-012312-7</t>
  </si>
  <si>
    <t>282700.04.01</t>
  </si>
  <si>
    <t>Государственный и муниципальный долг: Уч. пос./Л.Б.Мохнаткина-М.:НИЦ ИНФРА-М,2020.-151 с.(ВО: Бакалавр.)(о)</t>
  </si>
  <si>
    <t>ГОСУДАРСТВЕННЫЙ И МУНИЦИПАЛЬНЫЙ ДОЛГ</t>
  </si>
  <si>
    <t>Мохнаткина Л. Б.</t>
  </si>
  <si>
    <t>978-5-16-009889-0</t>
  </si>
  <si>
    <t>38.04.01, 38.04.08, 38.03.01, 44.03.05</t>
  </si>
  <si>
    <t>Рекомендовано Федеральным государственным образовательным бюджетным учреждением высшего профессионального образования «Финансовый университет при Правительстве Российской Федерации» к использованию в образовательных учреждениях</t>
  </si>
  <si>
    <t>Оренбургский государственный университет</t>
  </si>
  <si>
    <t>295800.06.01</t>
  </si>
  <si>
    <t>Гражданская служба РФ: воп. прав. регулир. в схем. и ком.: Уч. пос./С.Ю.Кабашов-М:ИНФРА-М,2023-156с(О)</t>
  </si>
  <si>
    <t>ГРАЖДАНСКАЯ СЛУЖБА РОССИЙСКОЙ ФЕДЕРАЦИИ: ВОПРОСЫ ПРАВОВОГО РЕГУЛИРОВАНИЯ В СХЕМАХ И КОММЕНТАРИЯХ</t>
  </si>
  <si>
    <t>978-5-16-010095-1</t>
  </si>
  <si>
    <t>358300.03.01</t>
  </si>
  <si>
    <t>Гудвил: синергетическая сущность..: Моногр. /А.Е.Иванов -М.:ИЦ РИОР,НИЦ ИНФРА-М,2019-227с.(О)</t>
  </si>
  <si>
    <t>ГУДВИЛ: СИНЕРГЕТИЧЕСКАЯ СУЩНОСТЬ, ОЦЕНКА, УЧЕТ, АНАЛИЗ</t>
  </si>
  <si>
    <t>Иванов А.Е., Соколова Н.А., Генералова Н.В. и др.</t>
  </si>
  <si>
    <t>978-5-369-01451-6</t>
  </si>
  <si>
    <t>38.04.01, 38.04.02, 38.06.01, 38.03.01, 38.03.02</t>
  </si>
  <si>
    <t>Южно-Уральский государственный университет (национальный исследовательский университет)</t>
  </si>
  <si>
    <t>694913.04.01</t>
  </si>
  <si>
    <t>Девиантология гос. управления: Уч. / И.В.Понкин - М.:НИЦ ИНФРА-М,2023 - 301с.-(ВО: Магистр.)(П)</t>
  </si>
  <si>
    <t>ДЕВИАНТОЛОГИЯ ГОСУДАРСТВЕННОГО УПРАВЛЕНИЯ</t>
  </si>
  <si>
    <t>Понкин И.В.</t>
  </si>
  <si>
    <t>978-5-16-014740-6</t>
  </si>
  <si>
    <t>40.04.01, 38.04.04, 40.05.01, 40.05.02, 40.06.01</t>
  </si>
  <si>
    <t>Рекомендовано кафедрой государственного и муниципального управления факультета государственного и муниципального управления Института государственной службы и управления Российской академии народного хозяйства и государственной службы при Президенте Российской Федерации</t>
  </si>
  <si>
    <t>416650.06.01</t>
  </si>
  <si>
    <t>Деканы России: социологический портрет, технол..: Моногр./ С.Д.Резник-3 изд.- ИНФРА-М,2023-204с(П)</t>
  </si>
  <si>
    <t>ДЕКАНЫ РОССИИ: СОЦИОЛОГИЧЕСКИЙ ПОРТРЕТ, ТЕХНОЛОГИИ И ОРГАНИЗАЦИЯ ДЕЯТЕЛЬНОСТИ, ИЗД.3</t>
  </si>
  <si>
    <t>Резник С.Д., Сазыкина О.А., Фомин Г.Б. и др.</t>
  </si>
  <si>
    <t>978-5-16-018688-7</t>
  </si>
  <si>
    <t>38.04.03, 38.04.04, 38.03.01, 38.03.04, 38.03.03, 41.03.06</t>
  </si>
  <si>
    <t>0316</t>
  </si>
  <si>
    <t>028480.18.01</t>
  </si>
  <si>
    <t>Деловая переписка: Уч.практ.пос. / М.В.Кирсанова  - 3 изд. - М.:НИЦ ИНФРА-М,2022 -136 с.-(ВО)(О)</t>
  </si>
  <si>
    <t>ДЕЛОВАЯ ПЕРЕПИСКА, ИЗД.3</t>
  </si>
  <si>
    <t>Кирсанова М.В., Анодина Н.Н., Аксенов Ю.М.</t>
  </si>
  <si>
    <t>978-5-16-009918-7</t>
  </si>
  <si>
    <t>Учебно-практическое пособие</t>
  </si>
  <si>
    <t>46.03.02, 46.04.02, 38.04.01, 38.04.02, 38.04.04, 38.03.01, 38.03.02, 38.03.04, 38.03.03, 41.03.06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</si>
  <si>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 и 38.03.02 «Менеджмент» (квалификация (степень) «бакалавр»)</t>
  </si>
  <si>
    <t>Новосибирский колледж транспортных технологий им. Н.А. Лунина</t>
  </si>
  <si>
    <t>0306</t>
  </si>
  <si>
    <t>695337.05.01</t>
  </si>
  <si>
    <t>Деловая переписка: Уч.практ.пос. / М.В.Кирсанова - 3 изд.-М.:НИЦ ИНФРА-М,2023 - 136 с.(СПО)(О)</t>
  </si>
  <si>
    <t>Среднее профессиональное образование</t>
  </si>
  <si>
    <t>978-5-16-014547-1</t>
  </si>
  <si>
    <t>Профессиональное образование / Среднее профессиональное образование</t>
  </si>
  <si>
    <t>38.02.04, 38.02.05, 31.02.01, 38.02.06, 38.02.07, 38.02.01, 38.02.02, 38.02.03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</si>
  <si>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</si>
  <si>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32</t>
  </si>
  <si>
    <t>0319</t>
  </si>
  <si>
    <t>762161.04.01</t>
  </si>
  <si>
    <t>Деловое общение и кросс-культур. коммуникации: Уч. / Т.В.Суворова-М.:НИЦ ИНФРА-М,2024.-323 с.(ВО)(П)</t>
  </si>
  <si>
    <t>ДЕЛОВОЕ ОБЩЕНИЕ И КРОСС-КУЛЬТУРНЫЕ КОММУНИКАЦИИ</t>
  </si>
  <si>
    <t>Жукова Е.Е., Суворова Т.В.</t>
  </si>
  <si>
    <t>978-5-16-018501-9</t>
  </si>
  <si>
    <t>38.00.00, 43.02.01, 43.03.03, 12.03.03, 12.03.04, 15.03.06, 42.04.04, 38.04.07, 41.04.04, 41.04.05, 38.04.01, 38.04.06, 38.04.02, 38.04.03, 38.04.04, 38.04.05, 27.04.03, 27.04.05, 38.05.02, 38.03.01, 38.03.05, 38.03.06, 38.03.07, 38.03.02</t>
  </si>
  <si>
    <t>Рекомендовано Ученым советом Университета «Синергия» для использования в образовательном процессе при изучении дисциплин «Деловые коммуникации», «Деловое общение», «Кросскультурные коммуникации», «Деловое общение и кросскультурные коммуникации» студентами бакалавриата направлений подготовки 38.03.01 «Экономика»; 38.03.02 «Менеджмент»; 38.03.03 «Управление персоналом»; 38.03.04 «Государственное и муниципальное управление»; 38.03.05 «Бизнес-информатика»; 38.03.06 «Торговое дело»; 38.03.07 «Товароведение»; 38.03.10 «Жилищное хозяйство и коммунальная инфраструктур</t>
  </si>
  <si>
    <t>Московский финансово-промышленный университет "Синергия"</t>
  </si>
  <si>
    <t>642428.01.01</t>
  </si>
  <si>
    <t>Деловые коммуникации: соц.-психолог.аспекты: Уч.пос./ А.М.Пивоваров-М.:ИЦ РИОР,НИЦ ИНФРА-М,2017-146с</t>
  </si>
  <si>
    <t>ДЕЛОВЫЕ КОММУНИКАЦИИ: СОЦИАЛЬНО-ПСИХОЛОГИЧЕСКИЕ АСПЕКТЫ</t>
  </si>
  <si>
    <t>Пивоваров А.М.</t>
  </si>
  <si>
    <t>978-5-369-01641-1</t>
  </si>
  <si>
    <t>38.04.07, 39.04.01, 38.04.01, 38.04.06, 38.04.02, 38.04.03, 38.04.04, 38.04.05, 38.03.01, 39.03.01</t>
  </si>
  <si>
    <t>642428.04.01</t>
  </si>
  <si>
    <t>Деловые коммуникации: теория..: Уч.пос. / А.М.Пивоваров, - 2 изд.-М.:ИЦ РИОР, НИЦ ИНФРА-М,2023.-162 с.(О)</t>
  </si>
  <si>
    <t>ДЕЛОВЫЕ КОММУНИКАЦИИ: ТЕОРИЯ И ПРАКТИКА, ИЗД.2</t>
  </si>
  <si>
    <t>978-5-369-01913-9</t>
  </si>
  <si>
    <t>420950.08.01</t>
  </si>
  <si>
    <t>Деловые коммуникации: Уч. / О.В.Папкова - М.:Вуз.уч., НИЦ ИНФРА-М,2024 - 160 с.(ВО)(п)</t>
  </si>
  <si>
    <t>ДЕЛОВЫЕ КОММУНИКАЦИИ</t>
  </si>
  <si>
    <t>Папкова О.В.</t>
  </si>
  <si>
    <t>978-5-9558-0301-2</t>
  </si>
  <si>
    <t>46.03.02, 42.03.02, 42.03.01, 42.04.01, 38.04.07, 42.04.02, 46.04.02, 38.04.01, 38.04.06, 38.04.02, 38.04.03, 38.04.04, 38.04.05, 38.03.01, 38.03.05, 38.03.06, 38.03.07, 38.03.02, 38.03.04, 38.03.03, 41.03.06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</si>
  <si>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направлению подготовки 38.03.02 «Менеджмент» (квалификация (степень) «бакалавр»)</t>
  </si>
  <si>
    <t>Московский финансово-юридический университет</t>
  </si>
  <si>
    <t>134600.15.01</t>
  </si>
  <si>
    <t>Деловые коммуникации: Уч.пос. / Е.И.Кривокора - М.:НИЦ ИНФРА-М,2024 - 190 с.-(ВО: Бакалавриат)(П)</t>
  </si>
  <si>
    <t>Кривокора Е. И.</t>
  </si>
  <si>
    <t>978-5-16-004277-0</t>
  </si>
  <si>
    <t>43.03.01, 43.03.02, 38.03.01, 38.03.02</t>
  </si>
  <si>
    <t>Допущено УМО по образованию в области производственного менеджмента¶в качестве учебного пособия для студентов, обучающихся¶по направлению подготовки 38.03.02 «Менеджмент» (профиль «Производственный менеджмент)</t>
  </si>
  <si>
    <t>Северо-Кавказский федеральный университет</t>
  </si>
  <si>
    <t>048940.07.01</t>
  </si>
  <si>
    <t>Деловые коммуникации: Уч.пос. / М.И.Тимофеев - 2 изд. - М.:ИЦ РИОР, ИНФРА-М,2018 - 120 с.(О)</t>
  </si>
  <si>
    <t>ДЕЛОВЫЕ КОММУНИКАЦИИ, ИЗД.2</t>
  </si>
  <si>
    <t>Тимофеев М. И.</t>
  </si>
  <si>
    <t>978-5-369-00904-8</t>
  </si>
  <si>
    <t>38.04.07, 38.04.01, 38.04.06, 38.04.02, 38.04.03, 38.04.04, 38.04.05, 38.03.01, 38.03.05, 38.03.06, 38.03.07, 38.03.02, 38.03.04, 38.03.03, 41.03.06</t>
  </si>
  <si>
    <t>Национальный институт бизнеса</t>
  </si>
  <si>
    <t>0211</t>
  </si>
  <si>
    <t>400157.11.01</t>
  </si>
  <si>
    <t>Деловые комплименты: Уч.пос. / М.Л.Асмолова - 2 изд. -М.:ИЦ РИОР,НИЦ ИНФРА-М,2024-161с.(О)</t>
  </si>
  <si>
    <t>ДЕЛОВЫЕ КОМПЛИМЕНТЫ: УПРАВЛЕНИЕ ЛЮДЬМИ ПРИ ВНЕДРЕНИИ ИННОВАЦИЙ, ИЗД.2</t>
  </si>
  <si>
    <t>Асмолова М. Л.</t>
  </si>
  <si>
    <t>Президентская программа подготовки управленческих кадров</t>
  </si>
  <si>
    <t>978-5-369-01513-1</t>
  </si>
  <si>
    <t>43.02.10, 15.02.07, 35.02.12, 08.02.01, 08.02.04, 40.02.01, 38.02.07, 38.02.01, 38.02.03, 37.03.01, 37.04.01, 38.04.02, 38.04.03, 38.04.04, 38.03.02, 38.03.04, 38.03.03, 44.03.01, 44.03.05</t>
  </si>
  <si>
    <t>159200.09.01</t>
  </si>
  <si>
    <t>Делопроизводство: Уч. / Под ред. Быковой Т.А. - 4 изд. - М.:НИЦ ИНФРА-М,2021.-393 с.(ВО: Бакалавр.)(П)</t>
  </si>
  <si>
    <t>ДЕЛОПРОИЗВОДСТВО, ИЗД.4</t>
  </si>
  <si>
    <t>Быкова Т.А., Вялова Л.М., Кукарина Ю.М. и др.</t>
  </si>
  <si>
    <t>978-5-16-014992-9</t>
  </si>
  <si>
    <t>31.02.02, 46.03.02, 46.04.02, 38.03.04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</si>
  <si>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46.03.02 «Документоведение и архивоведение»  ¶(квалификация (степень) «бакалавр») (протокол №9 от 28.09.2020)</t>
  </si>
  <si>
    <t>Российский государственный гуманитарный университет РГГУ</t>
  </si>
  <si>
    <t>0418</t>
  </si>
  <si>
    <t>159200.07.01</t>
  </si>
  <si>
    <t>Делопроизводство: уч. / Под ред. Кузнецова Т.В., - 3-е изд., перераб. и доп-М.:НИЦ ИНФРА-М,2019.-364 с..-(ВО: Бакалавриат)(П 7Б</t>
  </si>
  <si>
    <t>ДЕЛОПРОИЗВОДСТВО, ИЗД.3</t>
  </si>
  <si>
    <t>Быкова Т. А., Вялова Л. М., Санкина Л. В., Кузнецова Т. В.</t>
  </si>
  <si>
    <t>978-5-16-004923-6</t>
  </si>
  <si>
    <t>Допущено Учебно-методическим объединением вузов РФ по образованию в области историко-архивоведения в качестве учебника для студентов высших учебных заведений, обучающихся по направлению 037700 «Документоведение и архивоведение» и специальности 032001</t>
  </si>
  <si>
    <t>0312</t>
  </si>
  <si>
    <t>159200.10.01</t>
  </si>
  <si>
    <t>Делопроизводство: Уч. / Т.А.Быкова - 5 изд.-М.:НИЦ ИНФРА-М,2023.-403 с.(ВО: Бакалавриат)(п)</t>
  </si>
  <si>
    <t>ДЕЛОПРОИЗВОДСТВО, ИЗД.5</t>
  </si>
  <si>
    <t>978-5-16-018052-6</t>
  </si>
  <si>
    <t>Апрель, 2023</t>
  </si>
  <si>
    <t>0523</t>
  </si>
  <si>
    <t>681532.03.01</t>
  </si>
  <si>
    <t>Децентрализованные органы и учр.в сис.исполнит.власти... /А.Н.Пилипенко-М.:Юр.Норма, НИЦ ИНФРА-М,2022-208с(П)</t>
  </si>
  <si>
    <t>ДЕЦЕНТРАЛИЗОВАННЫЕ ОРГАНЫ И УЧРЕЖДЕНИЯ В СИСТЕМЕ ИСПОЛНИТЕЛЬНОЙ ВЛАСТИ ЗАРУБЕЖНЫХ ГОСУДАРСТВ</t>
  </si>
  <si>
    <t>Пилипенко А.Н., Касаткина Н.М., Лещенков Ф.А. и др.</t>
  </si>
  <si>
    <t>978-5-91768-907-4</t>
  </si>
  <si>
    <t>40.03.01, 40.04.01, 40.05.01, 40.05.02, 40.05.03, 40.06.01</t>
  </si>
  <si>
    <t>Институт законодательства и сравнительного правоведения при Правительстве Российской Федерации</t>
  </si>
  <si>
    <t>458250.04.01</t>
  </si>
  <si>
    <t>Диагностика развития сельского хоз-ва региона: Моногр./Д.Ю.Самыгин - ИНФРА-М,2018-140с.(Науч. мысль)</t>
  </si>
  <si>
    <t>ДИАГНОСТИКА РАЗВИТИЯ СЕЛЬСКОГО ХОЗЯЙСТВА РЕГИОНА: СОСТОЯНИЕ, ТЕНДЕНЦИИ, ПРОГНОЗ</t>
  </si>
  <si>
    <t>Самыгин Д. Ю., Барышников Н. Г.</t>
  </si>
  <si>
    <t>978-5-16-009414-4</t>
  </si>
  <si>
    <t>38.04.01, 38.04.02, 35.04.04, 35.04.05, 38.06.01, 35.03.07, 38.03.01, 38.03.02, 35.03.04</t>
  </si>
  <si>
    <t>Пензенский государственный университет</t>
  </si>
  <si>
    <t>212600.06.01</t>
  </si>
  <si>
    <t>Диагностика финансово-экономич. сост. орг.: Уч. пос. / Е.В.Бережная - ИНФРА-М, 2022-304с.(ВО) (п)</t>
  </si>
  <si>
    <t>ДИАГНОСТИКА ФИНАНСОВО-ЭКОНОМИЧЕСКОГО СОСТОЯНИЯ ОРГАНИЗАЦИИ</t>
  </si>
  <si>
    <t>Бережная Е. В., Бережная О. В., Косьмина О. И.</t>
  </si>
  <si>
    <t>978-5-16-006868-8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</si>
  <si>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080200.62 «Менеджмент» (квалификация (степень) «бакалавр»)</t>
  </si>
  <si>
    <t>776614.01.01</t>
  </si>
  <si>
    <t>Динамические аспекты управ. культуры орг. внутр. дел Рос. / Д.Г.Передня-М.:НИЦ ИНФРА-М,2022.-135 с.(О)</t>
  </si>
  <si>
    <t>ДИНАМИЧЕСКИЕ АСПЕКТЫ УПРАВЛЕНЧЕСКОЙ КУЛЬТУРЫ ОРГАНОВ ВНУТРЕННИХ ДЕЛ РОССИИ</t>
  </si>
  <si>
    <t>Передня Д.Г.</t>
  </si>
  <si>
    <t>978-5-16-017761-8</t>
  </si>
  <si>
    <t>40.03.01, 40.05.02, 40.06.01</t>
  </si>
  <si>
    <t>Академия управления Министерства внутренних дел Российской Федерации</t>
  </si>
  <si>
    <t>437250.06.01</t>
  </si>
  <si>
    <t>Диссертация в зеркале автореферата:Метод. пос. для.../В.М.Аникин- 3 изд.-М.:НИЦ ИНФРА-М,2018-128с(о)</t>
  </si>
  <si>
    <t>ДИССЕРТАЦИЯ В ЗЕРКАЛЕ АВТОРЕФЕРАТА, ИЗД.3</t>
  </si>
  <si>
    <t>Аникин В. М., Усанов Д. А.</t>
  </si>
  <si>
    <t>Менеджмент в науке</t>
  </si>
  <si>
    <t>978-5-16-006722-3</t>
  </si>
  <si>
    <t>Методическое пособие</t>
  </si>
  <si>
    <t>Профессиональное образование / ВО - Кадры высшей квалификации / Аспирантура</t>
  </si>
  <si>
    <t>01.04.04, 01.04.01, 01.04.02, 03.04.01, 04.04.01, 03.04.02, 04.04.02, 03.04.03, 01.04.03, 06.04.01, 05.04.01, 05.04.02, 05.04.03, 05.04.04, 05.04.05, 06.04.02, 05.04.06, 01.06.01, 03.06.01, 04.06.01, 05.06.01, 06.06.01, 12.06.01, 04.07.01, 06.07.01</t>
  </si>
  <si>
    <t>Саратовский государственный университет им. Н.Г. Чернышевского</t>
  </si>
  <si>
    <t>0313</t>
  </si>
  <si>
    <t>675391.02.01</t>
  </si>
  <si>
    <t>Дисциплинарная ответств.гос.служащих..:Моногр. /Ю.М.Буравлев-М.:Юр.Норма,НИЦ ИНФРА-М,2019-160с(О)</t>
  </si>
  <si>
    <t>ДИСЦИПЛИНАРНАЯ ОТВЕТСТВЕННОСТЬ ГОСУДАРСТВЕННЫХ СЛУЖАЩИХ (ТЕОРЕТИЧЕСКОЕ И ПРАВОВОЕ ИССЛЕДОВАНИЕ)</t>
  </si>
  <si>
    <t>Буравлев Ю.М.</t>
  </si>
  <si>
    <t>978-5-91768-886-2</t>
  </si>
  <si>
    <t>Рязанский государственный университет им. С.А. Есенина</t>
  </si>
  <si>
    <t>467150.06.01</t>
  </si>
  <si>
    <t>Доверительное управ. финанс. активами: Уч. пос. / Н.М.Ребельский-М.:Вуз. уч., НИЦ ИНФРА-М,2022.-224 с.(П)</t>
  </si>
  <si>
    <t>ДОВЕРИТЕЛЬНОЕ УПРАВЛЕНИЕ ФИНАНСОВЫМИ АКТИВАМИ</t>
  </si>
  <si>
    <t>Ребельский Н.М.</t>
  </si>
  <si>
    <t>978-5-9558-0369-2</t>
  </si>
  <si>
    <t>38.04.01, 38.04.08, 38.03.01, 38.03.02</t>
  </si>
  <si>
    <t>362700.07.01</t>
  </si>
  <si>
    <t>Договоры коммерческой деятельности: Практ. пос. / А.М.Петров - М.:КУРС, НИЦ ИНФРА-М,2023. - 396 с.</t>
  </si>
  <si>
    <t>ДОГОВОРЫ КОММЕРЧЕСКОЙ ДЕЯТЕЛЬНОСТИ</t>
  </si>
  <si>
    <t>Петров А.М.</t>
  </si>
  <si>
    <t>Практикум</t>
  </si>
  <si>
    <t>978-5-905554-97-1</t>
  </si>
  <si>
    <t>Дополнительное образование / Дополнительное профессиональное образование / ДПО - повышение квалификации</t>
  </si>
  <si>
    <t>38.02.04, 38.02.07, 38.02.01, 38.02.03, 38.04.01, 38.04.08, 38.04.02, 38.06.01, 38.03.01, 38.03.02, 44.03.01, 44.03.05</t>
  </si>
  <si>
    <t>206500.05.01</t>
  </si>
  <si>
    <t>Докторант вуза: диссертация, подгот. к защите..: Практ. пос. /С.Д.Резник- 2изд.ИНФРА-М, 2020-299с(П)</t>
  </si>
  <si>
    <t>ДОКТОРАНТ ВУЗА: ДИССЕРТАЦИЯ, ПОДГОТОВКА К ЗАЩИТЕ, ЛИЧНАЯ ОРГАНИЗАЦИЯ, ИЗД.2</t>
  </si>
  <si>
    <t>Резник С. Д.</t>
  </si>
  <si>
    <t>978-5-16-006783-4</t>
  </si>
  <si>
    <t>Пособие</t>
  </si>
  <si>
    <t>37.06.01, 38.06.01, 39.06.01, 40.06.01, 41.06.01, 44.06.01, 38.07.02, 39.07.01, 41.07.01, 44.07.01</t>
  </si>
  <si>
    <t>Рекомендовано Советом учебно-методического объединения вузов России по образованию в области менеджмента в качестве практического пособия для системы послевузовского профессионального образования - докторантуры высших учебных заведений</t>
  </si>
  <si>
    <t>0214</t>
  </si>
  <si>
    <t>206500.07.01</t>
  </si>
  <si>
    <t>Докторант вуза: диссертация, подгот. к защите..: Практ. пос. /С.Д.Резник- 3изд.ИНФРА-М, 2023-282с(П)</t>
  </si>
  <si>
    <t>ДОКТОРАНТ ВУЗА: ДИССЕРТАЦИЯ, ПОДГОТОВКА К ЗАЩИТЕ, ЛИЧНАЯ ОРГАНИЗАЦИЯ, ИЗД.3</t>
  </si>
  <si>
    <t>978-5-16-017303-0</t>
  </si>
  <si>
    <t>Рекомендовано Советом учебно-методического объединения вузов России по образованию в области менеджмента в качестве практического пособия для системы послевузовского профессионального образования — докторантуры высших учебных заведений</t>
  </si>
  <si>
    <t>440200.02.01</t>
  </si>
  <si>
    <t>Документационное обеспеч. внутривуз. менед.: Моногр. / И.А.Панов-М.:НИЦ ИНФРА-М,2019.-110 с..-(Науч.мысль)(О)</t>
  </si>
  <si>
    <t>ДОКУМЕНТАЦИОННОЕ ОБЕСПЕЧЕНИЕ ВНУТРИВУЗОВСКОГО МЕНЕДЖМЕНТА</t>
  </si>
  <si>
    <t>ПановИ.А., РезникС.Д.</t>
  </si>
  <si>
    <t>978-5-16-011366-1</t>
  </si>
  <si>
    <t>132400.07.01</t>
  </si>
  <si>
    <t>Документационное обеспечение упр. негос. орг.: Уч.пос. / Т.А.Быкова - 2изд.-М.:НИЦ ИНФРА-М,2020-302с(П)</t>
  </si>
  <si>
    <t>ДОКУМЕНТАЦИОННОЕ ОБЕСПЕЧЕНИЕ УПРАВЛЕНИЯ НЕГОСУДАРСТВЕННЫХ ОРГАНИЗАЦИЙ, ИЗД.2</t>
  </si>
  <si>
    <t>Быкова Т. А., Санкина Л. В.</t>
  </si>
  <si>
    <t>978-5-16-010379-2</t>
  </si>
  <si>
    <t>46.03.02, 46.04.02</t>
  </si>
  <si>
    <t>Рекомендовано УМО  вузов РФ по образованию в области  историко-архивоведения в качестве учебного пособия для студентов высших учебных заведений, обучающихся по спец. 032001.65 "Документоведение и документационное обеспечение управления"</t>
  </si>
  <si>
    <t>160750.12.01</t>
  </si>
  <si>
    <t>Документационное обеспечение управл.: Уч.пос. / Т.А.Быкова - 2 изд. - М.:НИЦ ИНФРА-М,2023 - 304с(П)</t>
  </si>
  <si>
    <t>ДОКУМЕНТАЦИОННОЕ ОБЕСПЕЧЕНИЕ УПРАВЛЕНИЯ (ДЕЛОПРОИЗВОДСТВО), ИЗД.2</t>
  </si>
  <si>
    <t>Быкова Т.А., Кузнецова Т.В., Санкина Л.В. и др.</t>
  </si>
  <si>
    <t>978-5-16-004805-5</t>
  </si>
  <si>
    <t>46.03.02, 38.04.02, 38.04.03, 38.04.04, 38.03.01, 38.03.02, 38.03.04, 38.03.03, 41.03.06</t>
  </si>
  <si>
    <t>Допущено Учебно-методическим объединением вузов России по образованию в области историко-архивоведения в качестве учебного пособия для студентов высших учебных заведений, обучающихся по направлению подготовки 46.03.02 «Документоведение и архивоведение» и специальности 03.20.01 «Документоведение и документационное обеспечение управления»</t>
  </si>
  <si>
    <t>481750.06.01</t>
  </si>
  <si>
    <t>Документационное обеспечение управления персоналом: Уч.пос. / Р.Е.Булат-М.:НИЦ ИНФРА-М,2019-234с(ВО)</t>
  </si>
  <si>
    <t>ДОКУМЕНТАЦИОННОЕ ОБЕСПЕЧЕНИЕ УПРАВЛЕНИЯ ПЕРСОНАЛОМ</t>
  </si>
  <si>
    <t>Булат Р. Е.</t>
  </si>
  <si>
    <t>978-5-16-010318-1</t>
  </si>
  <si>
    <t>46.03.02, 46.04.02, 38.04.02, 38.04.03, 38.03.02, 38.03.03</t>
  </si>
  <si>
    <t>Рекомендовано Учебно-методическим объединением вузов России по образованию в области менеджмента для студентов высших учебных заведений, обучающихся по направлению подготовки «Управление персоналом»</t>
  </si>
  <si>
    <t>Санкт-Петербургский университет Государственной противопожарной службы МЧС России</t>
  </si>
  <si>
    <t>075060.06.01</t>
  </si>
  <si>
    <t>Документирование управ. деят.: Уч.пос. / Ю.А.Панасенко - М.:ИЦ РИОР,2020 - 138 с.(О.к/ф)</t>
  </si>
  <si>
    <t>ДОКУМЕНТИРОВАНИЕ УПРАВЛЕНЧЕСКОЙ ДЕЯТЕЛЬНОСТИ</t>
  </si>
  <si>
    <t>Панасенко Ю. А.</t>
  </si>
  <si>
    <t>Карманное учебное пособие</t>
  </si>
  <si>
    <t>5-369-00014-X</t>
  </si>
  <si>
    <t>31.02.02, 38.03.04</t>
  </si>
  <si>
    <t>290300.07.01</t>
  </si>
  <si>
    <t>Долгосрочная финанс. политика орг.: Уч.пос. / Е.Н.Карпова - 2 изд. - М.:НИЦ ИНФРА-М,2022-193 с.(ВО)(П)</t>
  </si>
  <si>
    <t>ДОЛГОСРОЧНАЯ ФИНАНСОВАЯ ПОЛИТИКА ОРГАНИЗАЦИИ, ИЗД.2</t>
  </si>
  <si>
    <t>Карпова Е.Н., Кочановская О.М., Усенко А.М. и др.</t>
  </si>
  <si>
    <t>978-5-16-014376-7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</si>
  <si>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«бакалавр»). Регистрационный номер рецензии 128 от 18.04.2014 (ФГАУ ФИРО)</t>
  </si>
  <si>
    <t>Южный федеральный университет</t>
  </si>
  <si>
    <t>290300.05.01</t>
  </si>
  <si>
    <t>Долгосрочная финанс. политика организации: Уч.пос. / Е.Н.Карпова - М.:Альфа-М, НИЦ ИНФРА-М,2019-208с</t>
  </si>
  <si>
    <t>ДОЛГОСРОЧНАЯ ФИНАНСОВАЯ ПОЛИТИКА ОРГАНИЗАЦИИ</t>
  </si>
  <si>
    <t>Карпова Е. Н., Кочановская О. М., Усенко А. М., Коновалов А. А.</t>
  </si>
  <si>
    <t>978-5-98281-404-3</t>
  </si>
  <si>
    <t>261200.06.01</t>
  </si>
  <si>
    <t>Дороги к менеджменту: о себе и окруж. меня людях, о ../С.Д.Резник -5 изд.-М:НИЦ ИНФРА-М,2021-526с(п)</t>
  </si>
  <si>
    <t>ДОРОГИ К МЕНЕДЖМЕНТУ: О СЕБЕ И ОКРУЖАВШИХ МЕНЯ ЛЮДЯХ, О ВРЕМЕНИ И СОБЫТИЯХ, ИЗД.5</t>
  </si>
  <si>
    <t>978-5-16-016480-9</t>
  </si>
  <si>
    <t>Художественная литература</t>
  </si>
  <si>
    <t>Дополнительное образование / Дополнительное образование взрослых</t>
  </si>
  <si>
    <t>45.04.01, 38.03.02, 44.03.01, 45.03.01</t>
  </si>
  <si>
    <t>0521</t>
  </si>
  <si>
    <t>261200.03.01</t>
  </si>
  <si>
    <t>Дороги к менеджменту: о себе и окружавших меня людях, о .../С.Д.Резник -3 изд.-М.:НИЦ ИНФРА-М,2016-463с(п)</t>
  </si>
  <si>
    <t>ДОРОГИ К МЕНЕДЖМЕНТУ: О СЕБЕ И ОКРУЖАВШИХ МЕНЯ ЛЮДЯХ, О ВРЕМЕНИ И СОБЫТИЯХ, ИЗД.3</t>
  </si>
  <si>
    <t>261200.02.01</t>
  </si>
  <si>
    <t>Дороги к менеджменту: о себе и окружавших меня людях, о .../С.Д.Резник-2изд-М.:НИЦ ИНФРА-М,2015-402с (п) [16+]</t>
  </si>
  <si>
    <t>ДОРОГИ К МЕНЕДЖМЕНТУ: О СЕБЕ И ОКРУЖАВШИХ МЕНЯ ЛЮДЯХ, О ВРЕМЕНИ И СОБЫТИЯХ, ИЗД.2</t>
  </si>
  <si>
    <t>978-5-16-010351-8</t>
  </si>
  <si>
    <t>159050.05.01</t>
  </si>
  <si>
    <t>Еженедельник менеджера: Система и планы личной деятельности / С.Д.Резник - М.:ИНФРА-М,2015. - 208 с.</t>
  </si>
  <si>
    <t>ЕЖЕНЕДЕЛЬНИК МЕНЕДЖЕРА</t>
  </si>
  <si>
    <t>Резник С.Д., Черницов А.Е.</t>
  </si>
  <si>
    <t>Переплет</t>
  </si>
  <si>
    <t>ИНФРА-М Издательский Дом</t>
  </si>
  <si>
    <t>Персональный менеджмент</t>
  </si>
  <si>
    <t>978-5-16-005088-1</t>
  </si>
  <si>
    <t>38.04.04, 38.03.01, 38.03.04, 38.03.03</t>
  </si>
  <si>
    <t>354800.05.01</t>
  </si>
  <si>
    <t>Жизненный путь и цикл разв.организации:Практ.пос/М.М.Панов-НИЦ ИНФРА-М,2024-98(Просто,кратко,быстро)</t>
  </si>
  <si>
    <t>ЖИЗНЕННЫЙ ПУТЬ И ЦИКЛ РАЗВИТИЯ ОРГАНИЗАЦИИ</t>
  </si>
  <si>
    <t>Панов М.М.</t>
  </si>
  <si>
    <t>978-5-16-010903-9</t>
  </si>
  <si>
    <t>38.04.01, 38.04.02, 38.03.01, 38.03.02, 44.03.05</t>
  </si>
  <si>
    <t>127050.10.01</t>
  </si>
  <si>
    <t>Зарубежная практ. антикриз. упр.: Уч.пос. / Под ред. Ряховской А.Н.-М.:Магистр, ИНФРА-М,2019-272с(о)</t>
  </si>
  <si>
    <t>ЗАРУБЕЖНАЯ ПРАКТИКА АНТИКРИЗИСНОГО УПРАВЛЕНИЯ</t>
  </si>
  <si>
    <t>Арсенова Е.В., Крюкова О.Г., Ряховская А.Н.</t>
  </si>
  <si>
    <t>978-5-9776-0132-0</t>
  </si>
  <si>
    <t>15.02.07, 08.02.01, 08.02.04, 40.02.01, 38.02.07, 38.02.01, 38.02.03, 38.04.01, 38.04.06, 38.04.02, 38.04.03, 38.04.04, 38.03.01, 38.03.06, 38.03.02, 38.03.04, 38.03.03, 44.03.01, 44.03.05, 41.03.06</t>
  </si>
  <si>
    <t>Одобрено Федеральной регистрационной службой (Росрегистрацией) Министерства экономического развития Российской Федерации</t>
  </si>
  <si>
    <t>127050.13.01</t>
  </si>
  <si>
    <t>Зарубежная практ. антикриз. упр.: Уч.пос. / Под ред. Ряховской А.Н.-М.:Магистр, ИНФРА-М,2022-336с(П)</t>
  </si>
  <si>
    <t>ЗАРУБЕЖНАЯ ПРАКТИКА АНТИКРИЗИСНОГО УПРАВЛЕНИЯ, ИЗД.2</t>
  </si>
  <si>
    <t>978-5-9776-0508-3</t>
  </si>
  <si>
    <t>426850.06.01</t>
  </si>
  <si>
    <t>Землеустройство и упр. землепользованием: Уч.пос. / В .В.Слезко - М.:НИЦ ИНФРА-М,2018 - 203с.(ВО)(П)</t>
  </si>
  <si>
    <t>ЗЕМЛЕУСТРОЙСТВО И УПРАВЛЕНИЕ ЗЕМЛЕПОЛЬЗОВАНИЕМ</t>
  </si>
  <si>
    <t>Слезко В.В., Слезко Е.В., Слезко Л.В.</t>
  </si>
  <si>
    <t>978-5-16-006618-9</t>
  </si>
  <si>
    <t>38.04.01, 38.04.02, 21.03.02, 38.03.01, 38.03.02, 41.03.06</t>
  </si>
  <si>
    <t>Допущено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</t>
  </si>
  <si>
    <t>426850.11.01</t>
  </si>
  <si>
    <t>Землеустройство и упр. землепользованием: Уч.пос. / В.В.Слезко-2 изд.-М.:НИЦ ИНФРА-М,2024-221 с.(ВО)(П)</t>
  </si>
  <si>
    <t>ЗЕМЛЕУСТРОЙСТВО И УПРАВЛЕНИЕ ЗЕМЛЕПОЛЬЗОВАНИЕМ, ИЗД.2</t>
  </si>
  <si>
    <t>978-5-16-019259-8</t>
  </si>
  <si>
    <t>682864.06.01</t>
  </si>
  <si>
    <t>Землеустройство и упр. землепользованием: Уч.пос. / В.В.Слезко-2 изд.-М.:НИЦ ИНФРА-М,2024-221 с.(СПО)(п)</t>
  </si>
  <si>
    <t>978-5-16-019376-2</t>
  </si>
  <si>
    <t>21.02.04, 21.02.06, 21.02.05</t>
  </si>
  <si>
    <t>Октябрь, 2023</t>
  </si>
  <si>
    <t>0224</t>
  </si>
  <si>
    <t>682864.05.01</t>
  </si>
  <si>
    <t>Землеустройство и управление землепользованием: Уч.пос. / В.В.Слезко.-М.:НИЦ ИНФРА-М,2022.-221с(СПО)(П)</t>
  </si>
  <si>
    <t>978-5-16-013916-6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</si>
  <si>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отношения»,  21.02.06 «Информационные системы обеспечения градостроительной деятельности»</t>
  </si>
  <si>
    <t>772004.02.01</t>
  </si>
  <si>
    <t>Имитационное моделир. соц. систем..: Уч.пос. / К.В.Пителинский-М.:НИЦ ИНФРА-М,2023.-175 с.(ВО)(п)</t>
  </si>
  <si>
    <t>ИМИТАЦИОННОЕ МОДЕЛИРОВАНИЕ СОЦИОТЕХНИЧЕСКИХ СИСТЕМ: ОСНОВЫ ТЕОРИИ МАССОВОГО ОБСЛУЖИВАНИЯ</t>
  </si>
  <si>
    <t>Пителинский К.В., Бородин А.В.</t>
  </si>
  <si>
    <t>978-5-16-017475-4</t>
  </si>
  <si>
    <t>157350.09.01</t>
  </si>
  <si>
    <t>Имитационное моделир. экономич. процессов: Уч.пос. / Н.Н.Лычкина-М.:НИЦ ИНФРА-М,2024.-254 с.(ВО)(п)</t>
  </si>
  <si>
    <t>ИМИТАЦИОННОЕ МОДЕЛИРОВАНИЕ ЭКОНОМИЧЕСКИХ ПРОЦЕССОВ</t>
  </si>
  <si>
    <t>Лычкина Н. Н.</t>
  </si>
  <si>
    <t>978-5-16-018933-8</t>
  </si>
  <si>
    <t>38.04.01, 38.04.08, 38.04.02, 38.04.04, 09.04.03, 38.05.01, 38.03.01, 09.03.03, 38.03.02, 38.03.04</t>
  </si>
  <si>
    <t>Рекомендуется Государственным образовательным учреждением высшего профессионального образования Национальным исследовательским университетом «Высшая школа экономики» в качестве учебного пособия для студентов высших учебных заведений, обучающихся по направлению подготовки «Прикладная информатика» (регистрационный номер рецензии 1340 от 01.04.2011 МГУП)</t>
  </si>
  <si>
    <t>468300.07.01</t>
  </si>
  <si>
    <t>Имитационное моделирование объектов.: Уч.пос./Н.Б.Кобелев-М.:КУРС,НИЦ ИНФРА-М,2019-192с(Бакалавр)(п)</t>
  </si>
  <si>
    <t>ИМИТАЦИОННОЕ МОДЕЛИРОВАНИЕ ОБЪЕКТОВ С ХАОТИЧЕСКИМИ ФАКТОРАМИ</t>
  </si>
  <si>
    <t>Кобелев Н.Б.</t>
  </si>
  <si>
    <t>978-5-906818-20-1</t>
  </si>
  <si>
    <t>15.02.07, 02.03.03, 01.03.04, 09.04.03, 38.03.05</t>
  </si>
  <si>
    <t>Рекомендовано в качестве учебного пособия для студентов высших учебных заведений, обучающихся по направлению подготовки 38.03.05 «Бизнес-информатика»</t>
  </si>
  <si>
    <t>Российский государственный аграрный университет - МСХА им. К.А. Тимирязева</t>
  </si>
  <si>
    <t>214500.09.01</t>
  </si>
  <si>
    <t>Инвестиционный менеджмент: Уч. / П.Н.Брусов - М.:НИЦ ИНФРА-М,2023 - 333с.(ВО:Бакалавр.)(п)</t>
  </si>
  <si>
    <t>ИНВЕСТИЦИОННЫЙ МЕНЕДЖМЕНТ</t>
  </si>
  <si>
    <t>Брусов П. Н., Филатова Т. В., Лахметкина Н. И.</t>
  </si>
  <si>
    <t>978-5-16-005020-1</t>
  </si>
  <si>
    <t>38.03.01, 38.03.02, 38.03.04, 38.03.03, 41.03.06</t>
  </si>
  <si>
    <t>Рекомендовано ФГБОУ ВПО «Государственный университет управления» в качестве учебника для студентов высших учебных заведений, обучающихся по направлению подготовки 38.03.02 «Менеджмент» (квалификация (степень) - «бакалавр»)</t>
  </si>
  <si>
    <t>374800.07.01</t>
  </si>
  <si>
    <t>Инвестиционный менеджмент: Уч. /С.Е.Метелев.-М.:Форум, НИЦ ИНФРА-М,2024.-288 с.(ВО:Бакалавр.)(О)</t>
  </si>
  <si>
    <t>С.Е.Метелев, В.П.Чижик, С.Е.Елкин</t>
  </si>
  <si>
    <t>Форум</t>
  </si>
  <si>
    <t>978-5-00091-092-4</t>
  </si>
  <si>
    <t>Рекомендовано ФГБОУ ВПО «Государственный университет управления» в качестве учебника для студентов высших учебных заведений, обучающихся по направлению подготовки 080100 «Экономика» (квалификация (степень) «бакалавр»)</t>
  </si>
  <si>
    <t>Омский государственный университет им. Ф.М. Достоевского</t>
  </si>
  <si>
    <t>446150.06.01</t>
  </si>
  <si>
    <t>Инвестиционный менеджмент: Уч.пос. / В.В.Мыльник - М.: ИЦ РИОР:НИЦ ИНФРА-М,2022-229 с.(ВО:Бакалавр.) (п)</t>
  </si>
  <si>
    <t>Мыльник В.В., Мыльник А.В., Зубеева Е.В.</t>
  </si>
  <si>
    <t>978-5-369-01241-3</t>
  </si>
  <si>
    <t>Допущено Советом Учебно-методического объединения вузов России по образованию в области менеджмента в качестве учебного пособия по дисциплине специализации специальности «Менеджмент организации»</t>
  </si>
  <si>
    <t>Московский авиационный институт (национальный исследовательский университет)</t>
  </si>
  <si>
    <t>682868.02.01</t>
  </si>
  <si>
    <t>Индустрия гостеприимства.: основы орг. и упр.: Уч.пос. /А.Д.Чудновский-М.:ИД ФОРУМ,НИЦ ИНФРА-М, 2022-400(СПО)(П)</t>
  </si>
  <si>
    <t>ИНДУСТРИЯ ГОСТЕПРИИМСТВА: ОСНОВЫ ОРГАНИЗАЦИИ И УПРАВЛЕНИЯ</t>
  </si>
  <si>
    <t>Чудновский А.Д., Жукова М.А., Белозерова Ю.М. и др.</t>
  </si>
  <si>
    <t>978-5-8199-0787-0</t>
  </si>
  <si>
    <t>43.02.10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</si>
  <si>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43.02.11 «Гостиничный сервис»</t>
  </si>
  <si>
    <t>144350.08.01</t>
  </si>
  <si>
    <t>Индустрия гостеприимства: основы орг...: Уч.пос. / А.Д.Чудновский.-М.:ИД Форум, ИНФРА-М,2023.-400 с.(П)</t>
  </si>
  <si>
    <t>Чудновский А. Д., Жукова М. А., Белозерова Ю. М., Кнышова Е. Н.</t>
  </si>
  <si>
    <t>978-5-8199-0945-4</t>
  </si>
  <si>
    <t>43.03.03, 38.03.02</t>
  </si>
  <si>
    <t>Допущено Советом Учебно-методического объединения по образованию в области менеджмента в качестве учебного пособия по  направлению «Менеджмент организации»</t>
  </si>
  <si>
    <t>648926.04.01</t>
  </si>
  <si>
    <t>Инжиниринг труда: проект.трудовых процес..: Уч.пос. /Е.А.Савельева-М.:Вуз.уч.,НИЦ ИНФРА-М,2023-236с.</t>
  </si>
  <si>
    <t>ИНЖИНИРИНГ ТРУДА: ПРОЕКТИРОВАНИЕ ТРУДОВЫХ ПРОЦЕССОВ И СИСТЕМ</t>
  </si>
  <si>
    <t>Савельева Е.А.</t>
  </si>
  <si>
    <t>978-5-9558-0536-8</t>
  </si>
  <si>
    <t>39.04.01, 38.04.01, 38.04.03, 38.03.01, 38.03.03, 41.03.06</t>
  </si>
  <si>
    <t>765296.04.01</t>
  </si>
  <si>
    <t>Инновации и современные модели бизнеса: Уч. / Т.Г.Попадюк и др.-М.:НИЦ ИНФРА-М,2024.-334 с.(ВО)</t>
  </si>
  <si>
    <t>ИННОВАЦИИ И СОВРЕМЕННЫЕ МОДЕЛИ БИЗНЕСА</t>
  </si>
  <si>
    <t>Попадюк Т.Г., Линдер Н.В., Трачук А.В. и др.</t>
  </si>
  <si>
    <t>978-5-16-019078-5</t>
  </si>
  <si>
    <t>27.03.05, 38.03.01, 38.03.02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</si>
  <si>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«бакалавр») (протокол № 6 от 08.06.2022)</t>
  </si>
  <si>
    <t>766448.06.01</t>
  </si>
  <si>
    <t>Инновационная деят. на автомоб. транспорте: Уч.пос. / Бычков В.П. - 2 изд.-М.:НИЦ ИНФРА-М,2022-404с(П)</t>
  </si>
  <si>
    <t>ИННОВАЦИОННАЯ ДЕЯТЕЛЬНОСТЬ НА АВТОМОБИЛЬНОМ ТРАНСПОРТЕ, ИЗД.2</t>
  </si>
  <si>
    <t>Анисимов Ю.П., Бычков В.П., Куксова И.В. и др.</t>
  </si>
  <si>
    <t>978-5-16-015480-0</t>
  </si>
  <si>
    <t>23.04.03, 23.05.01, 23.03.01, 23.03.02, 23.03.03, 38.03.01, 38.03.02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</si>
  <si>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направлений подготовки 23.03.00 «Техника и технологии наземного транспорта» и направлению подготовки 38.03.02 «Менеджмент» (квалификация (степень) «бакалавр») (протокол № 5 от 16.03.2020)</t>
  </si>
  <si>
    <t>Воронежский государственный технический университет</t>
  </si>
  <si>
    <t>261600.07.01</t>
  </si>
  <si>
    <t>Инновационная деятельность предприятия: Уч./А.Ф.Наумов-М.:НИЦ ИНФРА-М,2023-256с.(ВО: Бакалавр.) (П)</t>
  </si>
  <si>
    <t>ИННОВАЦИОННАЯ ДЕЯТЕЛЬНОСТЬ ПРЕДПРИЯТИЯ</t>
  </si>
  <si>
    <t>Наумов А.Ф., Захарова А.А.</t>
  </si>
  <si>
    <t>978-5-16-009521-9</t>
  </si>
  <si>
    <t>Саратовский государственный технический университет им. Гагарина Ю.А., ф-л Саратовский социально-экономический институт</t>
  </si>
  <si>
    <t>687648.07.01</t>
  </si>
  <si>
    <t>Инновационная среда крупных рос.компаний..:Моногр. / Н.Н.Веселитская-М.:НИЦ ИНФРА-М,2024-118с(О)</t>
  </si>
  <si>
    <t>ИННОВАЦИОННАЯ СРЕДА КРУПНЫХ РОССИЙСКИХ КОМПАНИЙ: ПОИСК МЕХАНИЗМОВ ВЗАИМОДЕЙСТВИЯ</t>
  </si>
  <si>
    <t>Веселитская Н.Н.</t>
  </si>
  <si>
    <t>978-5-16-014269-2</t>
  </si>
  <si>
    <t>27.04.07, 38.04.01, 38.04.02, 27.04.05, 38.03.01, 38.03.02</t>
  </si>
  <si>
    <t>282100.04.01</t>
  </si>
  <si>
    <t>Инновационная экономика: Науч.-метод. пос./ Под ред. Кудиной М.В.-М.:ИД ФОРУМ, НИЦ ИНФРА-М,2019.-304 с.(П) (ВО-Бакалавриат)</t>
  </si>
  <si>
    <t>ИННОВАЦИОННАЯ ЭКОНОМИКА</t>
  </si>
  <si>
    <t>Кудина М.В., Сажина М.А.</t>
  </si>
  <si>
    <t>978-5-8199-0595-1</t>
  </si>
  <si>
    <t>Учебно-методическое пособие</t>
  </si>
  <si>
    <t>27.04.07, 38.04.01, 38.04.02, 38.04.04, 38.03.01, 38.03.02, 38.03.04</t>
  </si>
  <si>
    <t>Рекомендовано Ученым советом факультета государственного управления Московского государственного университета имени М.В. Ломоносова в качестве научно-методического пособия для аспирантов высших учебных заведений, обучающихся по экономическим и управл</t>
  </si>
  <si>
    <t>681309.04.01</t>
  </si>
  <si>
    <t>Инновационная экономика: Уч. / О.И.Донцова - М.:НИЦ ИНФРА-М,2024 - 217 с.-(ВО: Магистратура)(П)</t>
  </si>
  <si>
    <t>Донцова О.И.</t>
  </si>
  <si>
    <t>978-5-16-016895-1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</si>
  <si>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7 от 15.04.2019)</t>
  </si>
  <si>
    <t>728880.02.01</t>
  </si>
  <si>
    <t>Инновационное предпринимательство: Уч. / А.Г.Дементьева и др.-М.:Магистр, НИЦ ИНФРА-М,2023.-568 с.(П)</t>
  </si>
  <si>
    <t>ИННОВАЦИОННОЕ ПРЕДПРИНИМАТЕЛЬСТВО</t>
  </si>
  <si>
    <t>Дементьева А.Г., Соколова М.И., Хотяшева О.М.</t>
  </si>
  <si>
    <t>978-5-9776-0504-5</t>
  </si>
  <si>
    <t>44.04.02, 39.04.01, 38.04.02</t>
  </si>
  <si>
    <t>Московский государственный институт международных отношений (университет) Министерства иностранных дел Российской Федерации</t>
  </si>
  <si>
    <t>446350.06.01</t>
  </si>
  <si>
    <t>Инновационное развитие рос. компаний на основе.:Моногр./ В.В.Уваров-М:Магистр:НИЦ ИНФРА-М,2023-224с. (о)</t>
  </si>
  <si>
    <t>ИННОВАЦИОННОЕ РАЗВИТИЕ РОССИЙСКИХ КОМПАНИЙ НА ОСНОВЕ МЕЖДУНАРОДНОЙ ИНТЕГРАЦИИ</t>
  </si>
  <si>
    <t>Уваров В. В.</t>
  </si>
  <si>
    <t>978-5-9776-0279-2</t>
  </si>
  <si>
    <t>27.03.05, 38.04.01, 38.04.02, 38.03.01, 38.03.02, 41.03.06</t>
  </si>
  <si>
    <t>112900.16.01</t>
  </si>
  <si>
    <t>Инновационное развитие: эконом.,интеллект.ресурс... /Б.З.Мильнер-М:НИЦ ИНФРА-М,2023-624с(Науч.мысль)(П)</t>
  </si>
  <si>
    <t>ИННОВАЦИОННОЕ РАЗВИТИЕ: ЭКОНОМИКА, ИНТЕЛЛЕКТУАЛЬНЫЕ РЕСУРСЫ, УПРАВЛЕНИЕ ЗНАНИЯМИ</t>
  </si>
  <si>
    <t>Мильнер Б.З.</t>
  </si>
  <si>
    <t>978-5-16-003649-6</t>
  </si>
  <si>
    <t>02.04.03, 38.06.01, 38.07.02, 38.03.06, 38.03.03, 41.03.06</t>
  </si>
  <si>
    <t>278800.04.01</t>
  </si>
  <si>
    <t>Инновационные интегрир.струк.обр.,науки: Моногр./Под ред. Рождественского А.В.-М.:Альфа-М,2017-160с.</t>
  </si>
  <si>
    <t>ИННОВАЦИОННЫЕ ИНТЕГРИРОВАННЫЕ СТРУКТУРЫ ОБРАЗОВАНИЯ, НАУКИ И БИЗНЕСА</t>
  </si>
  <si>
    <t>Рождественский А.В., Балашов В.В., Харин мл. А.А. и др.</t>
  </si>
  <si>
    <t>978-5-98281-395-4</t>
  </si>
  <si>
    <t>44.04.04, 38.04.02, 38.03.01, 38.03.02</t>
  </si>
  <si>
    <t>487050.05.01</t>
  </si>
  <si>
    <t>Инновационные процессы в упр. объектами. сельск.: Уч.пос. /А.Л.Эйдис -М.: НИЦ ИНФРА-М, 2022 -192с. (ВО:Бакалавр.)(п)</t>
  </si>
  <si>
    <t>ИННОВАЦИОННЫЕ ПРОЦЕССЫ В УПРАВЛЕНИИ ОБЪЕКТАМИ СЕЛЬСКОХОЗЯЙСТВЕННОГО НАЗНАЧЕНИЯ</t>
  </si>
  <si>
    <t>ЭйдисА.Л., ТиняковаВ.И., ПолешкинаИ.О. и др.</t>
  </si>
  <si>
    <t>978-5-16-010658-8</t>
  </si>
  <si>
    <t>35.03.05, 35.03.08, 38.03.02, 35.03.04</t>
  </si>
  <si>
    <t>Рекомендовано Учебно-методическим объединением вузов Российской Федерации по аграрному образованию в качестве учебного пособия для студентов, осваивающих образовательные программы бакалавриата по направлению подготовки «Агроинженерия»</t>
  </si>
  <si>
    <t>052670.08.01</t>
  </si>
  <si>
    <t>Инновационный менеджмент / И.В. Василевская. - 3 изд. - РИОР, 2023. - 129 с.(О.к/ф)</t>
  </si>
  <si>
    <t>ИННОВАЦИОННЫЙ МЕНЕДЖМЕНТ, ИЗД.3</t>
  </si>
  <si>
    <t>Василевская И. В.</t>
  </si>
  <si>
    <t>978-5-369-00332-9</t>
  </si>
  <si>
    <t>02.04.03, 25.04.03, 25.04.04, 38.04.02, 38.04.04, 25.04.01, 25.04.02, 19.04.02, 38.03.01, 38.03.02, 38.03.04</t>
  </si>
  <si>
    <t>Православный институт св. Иоанна Богослова</t>
  </si>
  <si>
    <t>0309</t>
  </si>
  <si>
    <t>439300.07.01</t>
  </si>
  <si>
    <t>Инновационный менеджмент в АПК: Уч. / В.В.Козлов - М.:КУРС,НИЦ ИНФРА-М,2024-364с.(п)</t>
  </si>
  <si>
    <t>ИННОВАЦИОННЫЙ МЕНЕДЖМЕНТ В АПК</t>
  </si>
  <si>
    <t>Козлов В.В., Козлова Е.Ю.</t>
  </si>
  <si>
    <t>978-5-905554-27-8</t>
  </si>
  <si>
    <t>38.04.01, 38.04.02, 38.04.03, 38.03.01, 38.03.02, 38.03.03</t>
  </si>
  <si>
    <t>Допущено УМО по образованию в области производственного менеджемента в качестве учебника для студентов высших учебных заведений, обучающихся по направлению подготовки 38.03.02 «Менеджемент» (профиль «Производственный менеджемнт»)</t>
  </si>
  <si>
    <t>054650.17.01</t>
  </si>
  <si>
    <t>Инновационный менеджмент: Уч. / Под ред. Горфинкеля В.Я. - 4 изд. - М.:Вуз.уч.,НИЦ ИНФРА-М,2024 - 380 с.(П)</t>
  </si>
  <si>
    <t>ИННОВАЦИОННЫЙ МЕНЕДЖМЕНТ, ИЗД.4</t>
  </si>
  <si>
    <t>Горфинкель В.Я., Базилевич А.И., Бобков Л.В. и др.</t>
  </si>
  <si>
    <t>978-5-9558-0311-1</t>
  </si>
  <si>
    <t>04.03.02, 42.03.01, 07.03.03, 35.03.03, 27.03.02, 29.03.02, 19.03.04, 02.04.03, 25.04.03, 25.04.04, 06.04.01, 38.04.01, 38.04.02, 38.04.03, 38.04.04, 25.04.01, 25.04.02, 19.04.01, 19.04.02, 23.03.01, 35.03.09, 38.03.01, 38.03.02, 38.03.04, 38.03.03, 44.03.05, 45.03.01, 35.03.04, 52.03.01, 45.03.03, 51.03.01, 51.03.04, 41.03.06</t>
  </si>
  <si>
    <t>Рекомендовано Учебно-методическим объединением вузов России по образованию в области менеджмента в качестве учебника для студентов высших учебных заведений, обучающихся по направлению «Менеджмент» (степень (квалификация) — «магистратура»)</t>
  </si>
  <si>
    <t>0414</t>
  </si>
  <si>
    <t>632115.02.01</t>
  </si>
  <si>
    <t>Инновационный менеджмент: Уч. / Под ред. Джухи В.М. - 2 изд.-М.:ИЦ РИОР, НИЦ ИНФРА-М,2017-380с.(ВО)</t>
  </si>
  <si>
    <t>ИННОВАЦИОННЫЙ МЕНЕДЖМЕНТ, ИЗД.2</t>
  </si>
  <si>
    <t>Джуха В.М., Кузьминов А.Н., Погосян Р.Р. и др.</t>
  </si>
  <si>
    <t>СПО</t>
  </si>
  <si>
    <t>978-5-369-01570-4</t>
  </si>
  <si>
    <t>Ростовский государственный экономический университет (РИНХ)</t>
  </si>
  <si>
    <t>694643.04.01</t>
  </si>
  <si>
    <t>Инновационный менеджмент: Уч. / Т.В.Погодина и др. - М.:НИЦ ИНФРА-М,2023 - 343 с.-(ВО))(П)</t>
  </si>
  <si>
    <t>ИННОВАЦИОННЫЙ МЕНЕДЖМЕНТ</t>
  </si>
  <si>
    <t>Погодина Т.В., Попадюк Т.Г., Удальцова Н.Л.</t>
  </si>
  <si>
    <t>978-5-16-018724-2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</si>
  <si>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(протокол № 8 от 29.04.2019)</t>
  </si>
  <si>
    <t>051540.16.01</t>
  </si>
  <si>
    <t>Инновационный менеджмент: Уч.пос. / А.М.Мухамедьяров, - 3 изд.-М.:НИЦ ИНФРА-М,2024.-191 с.(ВО)(о)</t>
  </si>
  <si>
    <t>Мухамедьяров А. М.</t>
  </si>
  <si>
    <t>978-5-16-006730-8</t>
  </si>
  <si>
    <t>38.03.01, 38.03.02, 38.03.04, 41.03.06</t>
  </si>
  <si>
    <t>Допущено Министерством образования РФ в качестве учебного пособия для студентов высших учебных заведений, обучающихся по специальности 061100 "Менеджмент организации"</t>
  </si>
  <si>
    <t>0314</t>
  </si>
  <si>
    <t>162100.08.01</t>
  </si>
  <si>
    <t>Инновационный менеджмент: Уч.пос. / В.Д.Грибов - М.:НИЦ ИНФРА-М,2022 - 311 с.(ВО: Бакалавр.)(П)</t>
  </si>
  <si>
    <t>Грибов В. Д., Никитина Л. П.</t>
  </si>
  <si>
    <t>978-5-16-004870-3</t>
  </si>
  <si>
    <t>38.04.02, 38.04.04, 38.03.02, 38.03.04, 41.03.06</t>
  </si>
  <si>
    <t>Допущено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направлениям 080200 "Менеджмент" и 080507 "Менеджмент организации"</t>
  </si>
  <si>
    <t>Институт деловой карьеры</t>
  </si>
  <si>
    <t>441050.09.01</t>
  </si>
  <si>
    <t>Инновационный менеджмент: Уч.пос. / Е.П.Голубков - М.:НИЦ ИНФРА-М,2024 - 184 с.(ВО: Бакалавриат)(П)</t>
  </si>
  <si>
    <t>Голубков Е. П.</t>
  </si>
  <si>
    <t>978-5-16-006791-9</t>
  </si>
  <si>
    <t>Рекомендовано Советом Учебно-методического объединения вузов по образованию в области менеджмента в качестве учебного пособия для студентов высших учебных заведений, обучающихся по направлению 080200.65 «Менеджмент» (степень (квалификация) - «бакалав</t>
  </si>
  <si>
    <t>083140.05.01</t>
  </si>
  <si>
    <t>Инновационный менеджмент: Шпаргалка - М.:ИЦ РИОР, НИЦ ИНФРА-М - 96 с.-(Шпаргалка [отрывная])(О)</t>
  </si>
  <si>
    <t>ИННОВАЦИОННЫЙ МЕНЕДЖМЕНТ: ШПАРГАЛКА</t>
  </si>
  <si>
    <t>Без автора</t>
  </si>
  <si>
    <t>978-5-369-00177-6</t>
  </si>
  <si>
    <t>27.03.05, 02.04.03, 25.04.03, 25.04.04, 25.04.01, 25.04.02, 19.04.02, 38.03.01, 38.03.03, 41.03.06</t>
  </si>
  <si>
    <t>133450.11.01</t>
  </si>
  <si>
    <t>Инновационный потенциал хоз. системы и его оценка: Уч. пос. / И.П.Дежкина - ИНФРА-М, 2023-122с.(ВО) (о)</t>
  </si>
  <si>
    <t>ИННОВАЦИОННЫЙ ПОТЕНЦИАЛ ХОЗЯЙСТВЕННОЙ СИСТЕМЫ И ЕГО ОЦЕНКА (МЕТОДЫ ФОРМИРОВАНИЯ И ОЦЕНКИ)</t>
  </si>
  <si>
    <t>Дежкина И. П., Поташева Г. А.</t>
  </si>
  <si>
    <t>978-5-16-004372-2</t>
  </si>
  <si>
    <t>651873.03.01</t>
  </si>
  <si>
    <t>Институциональный анализ дисфункций гос.упр..:Моногр./ В.С.Осипов-М.:Вуз. уч.,НИЦ ИНФРА-М,2020-208с.</t>
  </si>
  <si>
    <t>ИНСТИТУЦИОНАЛЬНЫЙ АНАЛИЗ ДИСФУНКЦИЙ ГОСУДАРСТВЕННОГО УПРАВЛЕНИЯ ЭКОНОМИКОЙ</t>
  </si>
  <si>
    <t>Осипов В.С.</t>
  </si>
  <si>
    <t>Научная книга</t>
  </si>
  <si>
    <t>978-5-9558-0542-9</t>
  </si>
  <si>
    <t>40.03.01, 27.03.02, 38.04.09, 27.04.07, 06.04.01, 38.04.01, 38.04.08, 38.04.02, 38.04.04, 38.04.05, 44.03.05</t>
  </si>
  <si>
    <t>Институт экономики Российской академии наук</t>
  </si>
  <si>
    <t>681122.06.01</t>
  </si>
  <si>
    <t>Инструментарий логистики: Моногр. / А.П.Гарнов - 2 изд. - М.:НИЦ ИНФРА-М,2023 - 142 с.-(Науч.мысль)(О)</t>
  </si>
  <si>
    <t>ИНСТРУМЕНТАРИЙ ЛОГИСТИКИ, ИЗД.2</t>
  </si>
  <si>
    <t>Гарнов А.П., Киреева Н.С.</t>
  </si>
  <si>
    <t>978-5-16-013813-8</t>
  </si>
  <si>
    <t>56.05.01, 15.04.04, 29.04.02, 23.03.01, 38.03.01, 42.03.03</t>
  </si>
  <si>
    <t>0218</t>
  </si>
  <si>
    <t>751892.03.01</t>
  </si>
  <si>
    <t>Инструменты и методы антикриз. упр.: Уч. / Под ред. Ряховской А.Н.-М.:Магистр, НИЦ ИНФРА-М,2024.-624 с.(П)</t>
  </si>
  <si>
    <t>ИНСТРУМЕНТЫ И МЕТОДЫ АНТИКРИЗИСНОГО УПРАВЛЕНИЯ</t>
  </si>
  <si>
    <t>Ряховская А.Н., Волков Л.В.</t>
  </si>
  <si>
    <t>978-5-9776-0532-8</t>
  </si>
  <si>
    <t>792147.01.01</t>
  </si>
  <si>
    <t>Интегрир. информ. системы управ. объектами...: Уч.пос. / Под ред. Григорьев А.А.-М.:НИЦ ИНФРА-М,2024.-273 с(П)</t>
  </si>
  <si>
    <t>ИНТЕГРИРОВАННЫЕ ИНФОРМАЦИОННЫЕ СИСТЕМЫ УПРАВЛЕНИЯ ОБЪЕКТАМИ. КОРПОРАТИВНЫЕ ИНФОРМАЦИОННЫЕ СИСТЕМЫ</t>
  </si>
  <si>
    <t>Григорьев А.А., Исаев Е.А., Корнилов В.В. и др.</t>
  </si>
  <si>
    <t>978-5-16-018103-5</t>
  </si>
  <si>
    <t>09.03.01, 09.03.02, 38.03.05, 09.03.03, 38.03.02</t>
  </si>
  <si>
    <t>Август, 2023</t>
  </si>
  <si>
    <t>0124</t>
  </si>
  <si>
    <t>729533.02.01</t>
  </si>
  <si>
    <t>Интегрированная система управ. качеством на предпр...: Моногр. / Е.С.Григорян-М.:НИЦ ИНФРА-М,2024-162с.(О)</t>
  </si>
  <si>
    <t>ИНТЕГРИРОВАННАЯ СИСТЕМА УПРАВЛЕНИЯ КАЧЕСТВОМ НА ПРЕДПРИЯТИЯХ ОБОРОННО-ПРОМЫШЛЕННОГО КОМПЛЕКСА</t>
  </si>
  <si>
    <t>Григорян Е.С.</t>
  </si>
  <si>
    <t>978-5-16-016304-8</t>
  </si>
  <si>
    <t>27.04.07, 38.04.01, 38.04.02, 27.04.02, 27.04.01, 27.04.03, 27.04.04, 27.04.05, 27.04.06, 27.06.01, 38.06.01</t>
  </si>
  <si>
    <t>Пензенский государственный технологический университет</t>
  </si>
  <si>
    <t>149950.08.01</t>
  </si>
  <si>
    <t>Интенсивный курс MBA: Уч.пос. / Под ред. Фальцмана В.К. - М.:НИЦ ИНФРА-М,2021 - 544 с.-(П)</t>
  </si>
  <si>
    <t>ИНТЕНСИВНЫЙ КУРС MBA</t>
  </si>
  <si>
    <t>Королев В.И., Хотяшева О.М., Герасименко В.В. и др.</t>
  </si>
  <si>
    <t>978-5-16-004824-6</t>
  </si>
  <si>
    <t>38.04.01, 38.04.06, 38.04.02, 38.04.03, 38.04.04</t>
  </si>
  <si>
    <t>Рекомендовано Ученым советом Российско-немецкой высшей школы управления АНХ в качестве учебного пособия для слушателей программы MBA по направлению "Менеджмент"</t>
  </si>
  <si>
    <t>069000.12.01</t>
  </si>
  <si>
    <t>Информатика для экономистов: Уч. / В.М.Матюшок -2 изд.-М.:НИЦ ИНФРА-М,2023-460 с.(ВО: Бакалавр.)(П)</t>
  </si>
  <si>
    <t>ИНФОРМАТИКА ДЛЯ ЭКОНОМИСТОВ, ИЗД.2</t>
  </si>
  <si>
    <t>Матюшок В. М.</t>
  </si>
  <si>
    <t>978-5-16-009152-5</t>
  </si>
  <si>
    <t>09.03.02, 38.03.01, 38.03.02</t>
  </si>
  <si>
    <t>Допущено Министерством образования и науки Российской Федерации в качестве учебника для студентов высших учебных заведений, обучающихся по направлению 38.03.01 (080100) "Экономика» и 38.03.02 (080200) «Менеджмент»</t>
  </si>
  <si>
    <t>Российский университет дружбы народов</t>
  </si>
  <si>
    <t>075400.11.01</t>
  </si>
  <si>
    <t>Информатика для экономистов: Уч. / В.П.Агальцов - М.:ИД Форум, НИЦ ИНФРА-М,2022 - 448 с.(ВО)(П)</t>
  </si>
  <si>
    <t>ИНФОРМАТИКА ДЛЯ ЭКОНОМИСТОВ</t>
  </si>
  <si>
    <t>Агальцов В.П., Титов В.М.</t>
  </si>
  <si>
    <t>978-5-8199-0274-5</t>
  </si>
  <si>
    <t>01.03.02, 38.03.01, 38.03.05, 38.03.02, 38.03.03</t>
  </si>
  <si>
    <t>Допущено УМО по образованию в области прикладной информатики в качестве учебника для студентов высших учебных заведений, обучающихся по специальности "Прикладная информатика (по областям)" и другим экономическим специальностям</t>
  </si>
  <si>
    <t>Московский государственный технический университет им. Н.Э. Баумана</t>
  </si>
  <si>
    <t>672141.03.01</t>
  </si>
  <si>
    <t>Информационная структура предприятия: Уч.пос. / Д.В.Капулин - М.:НИЦ ИНФРА-М, СФУ,2022 - 186 с.(ВО)(П)</t>
  </si>
  <si>
    <t>ИНФОРМАЦИОННАЯ СТРУКТУРА ПРЕДПРИЯТИЯ</t>
  </si>
  <si>
    <t>Капулин Д.В., Кузнецов А.С., Носкова Е.Е.</t>
  </si>
  <si>
    <t>Высшее образование: Бакалавриат (СФУ)</t>
  </si>
  <si>
    <t>978-5-16-013433-8</t>
  </si>
  <si>
    <t>27.04.04, 27.03.04</t>
  </si>
  <si>
    <t>Рекомендовано федеральным государственным бюджетным образовательным учреждением высшего образования «Московский государственный технический университет имени Н.Э. Баумана» в качестве учебного пособия для студентов высших учебных заведений, обучающихся по направлению «Управление в технических системах»</t>
  </si>
  <si>
    <t>151250.13.01</t>
  </si>
  <si>
    <t>Информационно-аналит. работа..: Уч.пос. /  Полывянного Д.И. - 3 изд.М.:Вуз.уч.,НИЦ ИНФРА-М,2021 - 145 с.(О)</t>
  </si>
  <si>
    <t>ИНФОРМАЦИОННО-АНАЛИТИЧЕСКАЯ РАБОТА В ГОСУДАРСТВЕННОМ И МУНИЦИПАЛЬНОМ УПРАВЛЕНИИ, ИЗД.3</t>
  </si>
  <si>
    <t>Зобнин А.В.</t>
  </si>
  <si>
    <t>978-5-16-014763-5</t>
  </si>
  <si>
    <t>41.03.04, 41.03.05, 41.04.04, 41.04.05, 38.04.04, 41.03.06</t>
  </si>
  <si>
    <t>Допущено Научно-методическим советом по политологии Министерства образования и науки Российской Федерации в качестве учебного пособия для студентов вузов и факультетов гуманитарного и социально-экономического профиля</t>
  </si>
  <si>
    <t>Ивановский государственный университет</t>
  </si>
  <si>
    <t>0321</t>
  </si>
  <si>
    <t>151250.10.01</t>
  </si>
  <si>
    <t>Информационно-аналит. работа..: Уч.пос. /  Полывянного Д.И.-2 изд.М.:Вуз.уч.,НИЦ ИНФРА-М,2020-144с</t>
  </si>
  <si>
    <t>ИНФОРМАЦИОННО-АНАЛИТИЧЕСКАЯ РАБОТА В ГОСУДАРСТВЕННОМ И МУНИЦИПАЛЬНОМ УПРАВЛЕНИИ, ИЗД.2</t>
  </si>
  <si>
    <t>Зобнин А.В., Полывянный Д.И.</t>
  </si>
  <si>
    <t>978-5-9558-0405-7</t>
  </si>
  <si>
    <t>Допущено Научно-методическим советом по политологии Министерства образования РФ в качестве учебного пособия  для студентов вузов и факультетов гуманитарного и социально-экономического профиля</t>
  </si>
  <si>
    <t>424700.08.01</t>
  </si>
  <si>
    <t>Информационные ресурсы и технологии в эконом.: Уч. пос./Б.Е.Одинцов - Вуз. уч.: Инфра-М, 2024-462с.</t>
  </si>
  <si>
    <t>ИНФОРМАЦИОННЫЕ РЕСУРСЫ И ТЕХНОЛОГИИ В ЭКОНОМИКЕ</t>
  </si>
  <si>
    <t>Одинцов Б. Е., Романов А. Н.</t>
  </si>
  <si>
    <t>978-5-9558-0256-5</t>
  </si>
  <si>
    <t>169500.13.01</t>
  </si>
  <si>
    <t>Информационные системы в экономике: Уч.пос. / К.В.Балдин - М.:НИЦ ИНФРА-М,2024-218с.(ВО)(п)</t>
  </si>
  <si>
    <t>ИНФОРМАЦИОННЫЕ СИСТЕМЫ В ЭКОНОМИКЕ</t>
  </si>
  <si>
    <t>Балдин К. В.</t>
  </si>
  <si>
    <t>978-5-16-019321-2</t>
  </si>
  <si>
    <t>38.03.01, 38.03.05, 09.03.03, 38.03.06, 38.03.07, 38.03.02, 38.03.04, 38.03.03</t>
  </si>
  <si>
    <t>Рекомендовано в качестве учебного пособия студентам высших учебных заведений, обучающихся по направлению 38.03.01 «Экономика»</t>
  </si>
  <si>
    <t>Российская таможенная академия</t>
  </si>
  <si>
    <t>103300.12.01</t>
  </si>
  <si>
    <t>Информационные системы в экономике: Уч.пос. / Под ред. Чистова Д.В. - М.:НИЦ ИНФРА-М,2023 - 234 с.(ВО)(П)</t>
  </si>
  <si>
    <t>Чистов Д. В.</t>
  </si>
  <si>
    <t>978-5-16-003511-6</t>
  </si>
  <si>
    <t>38.03.10, 09.03.02, 38.03.01, 38.03.05, 09.03.03, 38.03.06, 38.03.07, 38.03.02, 38.03.04, 38.03.03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</si>
  <si>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спец. "Финансы и кредит", "Бух. учет, анализ и аудит", "Мировая экономика", "Налоги и налогообложение"</t>
  </si>
  <si>
    <t>130450.11.01</t>
  </si>
  <si>
    <t>Информационные технологии в коммерции: Уч.пос. / Л.П.Гаврилов, - 2 изд.-М.:НИЦ ИНФРА-М,2024.-369 с.(ВО)(П)</t>
  </si>
  <si>
    <t>ИНФОРМАЦИОННЫЕ ТЕХНОЛОГИИ В КОММЕРЦИИ, ИЗД.2</t>
  </si>
  <si>
    <t>Гаврилов Л.П.</t>
  </si>
  <si>
    <t>978-5-16-016187-7</t>
  </si>
  <si>
    <t>38.04.06, 38.03.06</t>
  </si>
  <si>
    <t>Допущено Учебно-методическим объединением по образованию в области коммерции и маркетинга вкачестве учебного пособия для студентов вузов</t>
  </si>
  <si>
    <t>Военная академия Ракетных войск стратегического назначения им. Петра Великого</t>
  </si>
  <si>
    <t>0221</t>
  </si>
  <si>
    <t>130450.09.01</t>
  </si>
  <si>
    <t>Информационные технологии в коммерции: Уч.пос./ Л.П.Гаврилов-М.:НИЦ ИНФРА-М,2020-238с(ВО:Бакалавр.)(П)</t>
  </si>
  <si>
    <t>ИНФОРМАЦИОННЫЕ ТЕХНОЛОГИИ В КОММЕРЦИИ</t>
  </si>
  <si>
    <t>Гаврилов Л. П.</t>
  </si>
  <si>
    <t>978-5-16-004100-1</t>
  </si>
  <si>
    <t>Допущено Учебно-методическим объединением по образованию в области коммерции и маркетинга в качестве учебного пособия для студентов высших учебных заведений, обучающихся по специальности 080301 "Коммерция" (торговое дело) и 080111 "Маркетинг"</t>
  </si>
  <si>
    <t>442550.06.01</t>
  </si>
  <si>
    <t>Информационные технологии в менедж.: Уч. пос./В.И.Карпузова - 2 изд. -М.: Вуз. уч.: ИНФРА-М, 2023-301с. (п)</t>
  </si>
  <si>
    <t>ИНФОРМАЦИОННЫЕ ТЕХНОЛОГИИ В МЕНЕДЖМЕНТЕ, ИЗД.2</t>
  </si>
  <si>
    <t>Карпузова В. И., Скрипченко Э. Н., Чернышева К. В., Карпузова Н. В.</t>
  </si>
  <si>
    <t>978-5-9558-0315-9</t>
  </si>
  <si>
    <t>Допущено УМО по образованию в области производственного менеджмента в качестве учебного пособия для студентов высших учебных заведений, обучающихся по направлению подготовки 080200 «Менеджмент» (профиль «Производственный менеджмент»)</t>
  </si>
  <si>
    <t>257100.08.01</t>
  </si>
  <si>
    <t>Информационные технологии в налогообложении: Уч. пос. / А.О. Горбенко - М:КУРС: ИНФРА-М,2022-256с. (О)</t>
  </si>
  <si>
    <t>ИНФОРМАЦИОННЫЕ ТЕХНОЛОГИИ В НАЛОГООБЛОЖЕНИИ</t>
  </si>
  <si>
    <t>Горбенко А. О., Мамасуев А. В.</t>
  </si>
  <si>
    <t>978-5-905554-49-0</t>
  </si>
  <si>
    <t>38.03.01</t>
  </si>
  <si>
    <t>Рекомендовано Советом Учебно-методического объединения по образованию в области финансов, учета и мировой экономики, в качестве учебного пособия для студентов обучающихся по направлению «Экономика» (степень бакалавра) и специальности/профилю «Бухгалт</t>
  </si>
  <si>
    <t>746606.04.01</t>
  </si>
  <si>
    <t>Информационные технологии в сис. гос. и муниц. упр. / М.А.Данилькевич - М.:Магистр, НИЦ ИНФРА-М,2024-152 с.(П)</t>
  </si>
  <si>
    <t>ИНФОРМАЦИОННЫЕ ТЕХНОЛОГИИ В СИСТЕМЕ ГОСУДАРСТВЕННОГО И МУНИЦИПАЛЬНОГО УПРАВЛЕНИЯ</t>
  </si>
  <si>
    <t>Данилькевич М.А., Сибиряев А.С.</t>
  </si>
  <si>
    <t>978-5-9776-0519-9</t>
  </si>
  <si>
    <t>38.04.04, 38.06.01, 38.03.04</t>
  </si>
  <si>
    <t>139800.10.01</t>
  </si>
  <si>
    <t>Информационные технологии упр. проектами: Уч.пос. / Н.М.Светлов - 2 изд. - М.:НИЦ ИНФРА-М,2024-232 с.(ВО)(П)</t>
  </si>
  <si>
    <t>ИНФОРМАЦИОННЫЕ ТЕХНОЛОГИИ УПРАВЛЕНИЯ ПРОЕКТАМИ, ИЗД.2</t>
  </si>
  <si>
    <t>Светлов Н. М., Светлова Г. Н.</t>
  </si>
  <si>
    <t>978-5-16-004472-9</t>
  </si>
  <si>
    <t>38.03.02</t>
  </si>
  <si>
    <t>Допущено УМО по образованию в области производственного менеджмента в качестве учебного пособия для студентов высших учебных заведений, обучающихся по направлению подготовки 38.03.02 «Менеджмент»</t>
  </si>
  <si>
    <t>Центральный экономико-математический институт Российской академии наук</t>
  </si>
  <si>
    <t>089750.14.01</t>
  </si>
  <si>
    <t>Информационные технологии упр.: Уч. / Б.В.Черников - 2 изд.-М:ИД ФОРУМ,НИЦ ИНФРА-М,2024-368с(ВО)(П)</t>
  </si>
  <si>
    <t>ИНФОРМАЦИОННЫЕ ТЕХНОЛОГИИ УПРАВЛЕНИЯ, ИЗД.2</t>
  </si>
  <si>
    <t>Черников Б.В.</t>
  </si>
  <si>
    <t>978-5-8199-0782-5</t>
  </si>
  <si>
    <t>38.03.02, 38.03.04</t>
  </si>
  <si>
    <t>Рекомендовано УМО в области экономики, менеджмента, логистики и бизнес-информатики в качестве учебника для студентов высших учебных заведений, обучающихся по направлениям подготовки 38.03.02 «Менеджмент» и 38.03.04 «Государственное и муниципальное управление»</t>
  </si>
  <si>
    <t>700154.01.01</t>
  </si>
  <si>
    <t>Информация и коммуникация в гос. упр.: Моногр. / А.Г.Киселев-М.:НИЦ ИНФРА-М,2019-268с(Науч.мысль)(П)</t>
  </si>
  <si>
    <t>ИНФОРМАЦИЯ И КОММУНИКАЦИЯ В ГОСУДАРСТВЕННОМ УПРАВЛЕНИИ</t>
  </si>
  <si>
    <t>Киселев А.Г., Киричёк П.Н.</t>
  </si>
  <si>
    <t>978-5-16-014753-6</t>
  </si>
  <si>
    <t>38.04.04, 38.03.04, 41.03.06</t>
  </si>
  <si>
    <t>121600.13.01</t>
  </si>
  <si>
    <t>Искусство презентаций и ведения..: Уч.пос. / М.Л.Асмолова, - 3изд.-М.:ИЦ РИОР,НИЦ ИНФРА-М,2023-248с.(О)</t>
  </si>
  <si>
    <t>ИСКУССТВО ПРЕЗЕНТАЦИЙ И ВЕДЕНИЯ ПЕРЕГОВОРОВ, ИЗД.3</t>
  </si>
  <si>
    <t>Асмолова М.Л.</t>
  </si>
  <si>
    <t>978-5-369-01543-8</t>
  </si>
  <si>
    <t>42.03.01, 42.04.01, 38.04.02, 38.04.04, 38.03.02, 38.03.04</t>
  </si>
  <si>
    <t>128290.07.01</t>
  </si>
  <si>
    <t>Исследование методол.оценки и анализ..: Моногр. / В.М.Аньшин-М.:НИЦ ИНФРА-М,2022-200с(Науч.мысль)(О)</t>
  </si>
  <si>
    <t>ИССЛЕДОВАНИЕ МЕТОДОЛОГИИ ОЦЕНКИ И АНАЛИЗ ЗРЕЛОСТИ УПРАВЛЕНИЯ ПОРТФЕЛЯМИ ПРОЕКТОВ В РОССИЙСКИХ КОМПАНИЯХ</t>
  </si>
  <si>
    <t>Аньшин В. М., Ильина О. Н.</t>
  </si>
  <si>
    <t>978-5-16-004146-9</t>
  </si>
  <si>
    <t>263800.05.01</t>
  </si>
  <si>
    <t>Исследование систем управления: Уч.пос. / В.В.Мыльник, - 2 изд.-М.:ИЦ РИОР, НИЦ ИНФРА-М,2024.-238 с.(ВО)(п)</t>
  </si>
  <si>
    <t>ИССЛЕДОВАНИЕ СИСТЕМ УПРАВЛЕНИЯ, ИЗД.2</t>
  </si>
  <si>
    <t>Мыльник В.В., Титаренко Б.П.</t>
  </si>
  <si>
    <t>978-5-369-01330-4</t>
  </si>
  <si>
    <t>27.03.03, 38.04.02, 27.04.03, 27.04.04, 27.03.04, 38.03.02</t>
  </si>
  <si>
    <t>Допущено Советом Учебно-методического объединения вузов России по образованию в области менеджмента в качестве учебного пособия по специальности «Менеджмент организации»</t>
  </si>
  <si>
    <t>422300.09.01</t>
  </si>
  <si>
    <t>Исследования в менедж.: пос. для магистров: Уч.пос./Т.Л.Короткова-М.:КУРС, НИЦ ИНФРА-М,2019.-256с(П)</t>
  </si>
  <si>
    <t>ИССЛЕДОВАНИЯ В МЕНЕДЖМЕНТЕ: ПОСОБИЕ ДЛЯ МАГИСТРОВ</t>
  </si>
  <si>
    <t>Короткова Т. Л.</t>
  </si>
  <si>
    <t>978-5-905554-25-4</t>
  </si>
  <si>
    <t>38.04.02, 38.04.05, 38.03.05, 38.03.02, 41.03.06</t>
  </si>
  <si>
    <t>Рекомендовано УМК института экономики, управления и права Национального исследовательского университета «МИЭТ» в качестве учебного пособия для магистров по направлению «Менеджмент»</t>
  </si>
  <si>
    <t>Московский институт электронной техники</t>
  </si>
  <si>
    <t>708021.03.01</t>
  </si>
  <si>
    <t>История гос. и местного упр. в России IX-XXI в.: Уч.пос. / Н.Д.Борщик-М.:НИЦ ИНФРА-М,2023.-218 с.(ВО)(П)</t>
  </si>
  <si>
    <t>ИСТОРИЯ ГОСУДАРСТВЕННОГО И МЕСТНОГО УПРАВЛЕНИЯ В РОССИИ IX-XXI ВЕКОВ</t>
  </si>
  <si>
    <t>Борщик Н.Д., Третьяков А.В.</t>
  </si>
  <si>
    <t>Высшее образование: Бакалавриат (КрымФУ)</t>
  </si>
  <si>
    <t>978-5-16-015562-3</t>
  </si>
  <si>
    <t>46.03.01, 46.03.02</t>
  </si>
  <si>
    <t>Рекомендовано к изданию Учебно-методическим советом Таврической академии (структурное подразделение) ФГАОУ ВО «Крымский федеральный университет им. В.И. Вернадского» (протокол № 4 от 19 ноября 2018 г.)¶Рекомендовано к изданию Учебно-методическим советом ФГАОУ ВО «Крымский федеральный университет им. В.И. Вернадского» (протокол № 1 от 11 января 2019 г.)</t>
  </si>
  <si>
    <t>Крымский федеральный университет им. В.И. Вернадского</t>
  </si>
  <si>
    <t>764935.01.01</t>
  </si>
  <si>
    <t>История гос. управления в России: Уч. / П.В.Галкин-М.:НИЦ ИНФРА-М,2023.-322 с.(ВО: Бакалавр.)(П)</t>
  </si>
  <si>
    <t>ИСТОРИЯ ГОСУДАРСТВЕННОГО УПРАВЛЕНИЯ В РОССИИ</t>
  </si>
  <si>
    <t>Галкин П.В.</t>
  </si>
  <si>
    <t>978-5-16-017204-0</t>
  </si>
  <si>
    <t>40.04.01, 38.03.04, 41.03.06</t>
  </si>
  <si>
    <t>089570.04.01</t>
  </si>
  <si>
    <t>История государственного управления в России: Уч.пос. /Ф.И.Биншток -М.:ИЦ РИОР,НИЦ ИНФРА-М,2016-125с.</t>
  </si>
  <si>
    <t>Биншток Ф. И.</t>
  </si>
  <si>
    <t>978-5-369-00256-8</t>
  </si>
  <si>
    <t>0108</t>
  </si>
  <si>
    <t>687888.03.01</t>
  </si>
  <si>
    <t>История и методология науки гос. и муниц. управления: Уч. / А.И.Балашов-М.:НИЦ ИНФРА-М,2023.-323с(П)</t>
  </si>
  <si>
    <t>ИСТОРИЯ И МЕТОДОЛОГИЯ НАУКИ ГОСУДАРСТВЕННОГО И МУНИЦИПАЛЬНОГО УПРАВЛЕНИЯ</t>
  </si>
  <si>
    <t>Балашов А.И., Ушаков Е.В.</t>
  </si>
  <si>
    <t>978-5-16-014438-2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</si>
  <si>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38.04.04 «Государственное и муниципальное управление» (квалификация (степень) «магистр») (протокол № 9 от 13.05.2019)</t>
  </si>
  <si>
    <t>126200.14.01</t>
  </si>
  <si>
    <t>История менеджмента: Уч.пос. / Под ред. Короткова Э.М. - М.:НИЦ ИНФРА-М,2023 - 240 с.-(ВО)(П)</t>
  </si>
  <si>
    <t>ИСТОРИЯ МЕНЕДЖМЕНТА</t>
  </si>
  <si>
    <t>Коротков Э.М., Беляев А.А., Трененков Е.М. и др.</t>
  </si>
  <si>
    <t>978-5-16-003803-2</t>
  </si>
  <si>
    <t>35.02.12, 42.03.01, 38.04.02, 38.04.04, 38.03.02, 38.03.04, 44.03.01, 41.03.06</t>
  </si>
  <si>
    <t>Допущено Советом Учебно-методического объединения вузов России по образованию в области менеджмента в качестве учебного пособия по направлению подготовки 38.03.02 «Менеджмент»</t>
  </si>
  <si>
    <t>487600.04.01</t>
  </si>
  <si>
    <t>История управленческой мысли: Уч.пос. / А.Я.Якобсон - М.:ИЦ РИОР, НИЦ ИНФРА-М,2021 - 100 с.-(ВО)(О)</t>
  </si>
  <si>
    <t>ИСТОРИЯ УПРАВЛЕНЧЕСКОЙ МЫСЛИ</t>
  </si>
  <si>
    <t>Якобсон А.Я., Бацюн Н.В.</t>
  </si>
  <si>
    <t>978-5-369-01558-2</t>
  </si>
  <si>
    <t>38.04.02, 38.04.03, 38.03.02, 38.03.03, 44.03.01, 41.03.06</t>
  </si>
  <si>
    <t>Рекомендовано УМО РАЕ по классическому университетскому и техническому образованию в качестве учебного пособия для студентов, обучающихся по направлениям подготовки «Менеджмент», «Управление персоналом»</t>
  </si>
  <si>
    <t>Иркутский государственный университет путей сообщения, ф-л Сибирский колледж транспорта и строительства</t>
  </si>
  <si>
    <t>642346.06.01</t>
  </si>
  <si>
    <t>Кадровая безопасность компании: Уч.пос. / Т.О.Соломанидина, - 2 изд.-М.:НИЦ ИНФРА-М,2023.-559 с.(ВО)(п)</t>
  </si>
  <si>
    <t>КАДРОВАЯ БЕЗОПАСНОСТЬ КОМПАНИИ, ИЗД.2</t>
  </si>
  <si>
    <t>Соломанидина Т.О., Соломанидин В.Г.</t>
  </si>
  <si>
    <t>978-5-16-018727-3</t>
  </si>
  <si>
    <t>38.04.02, 38.04.03, 38.04.04, 38.03.01, 38.03.02, 38.03.03, 41.03.06</t>
  </si>
  <si>
    <t>Рекомендовано в качестве учебного пособия для студентов высших учебных заведений, обучающихся по направлениям подготовки 38.03.02 «Менеджмент», 38.03.03 «Управление персоналом», 38.03.01 «Экономика» (квалификация (степень) «бакалавр»)</t>
  </si>
  <si>
    <t>0217</t>
  </si>
  <si>
    <t>777083.01.01</t>
  </si>
  <si>
    <t>Кадровая безопасность: Уч.пос. / Н.Н.Карзаева-М.:НИЦ ИНФРА-М,2023.-210 с..-(ВО)(п)</t>
  </si>
  <si>
    <t>КАДРОВАЯ БЕЗОПАСНОСТЬ</t>
  </si>
  <si>
    <t>Карзаева Н.Н., Каранина Е.В.</t>
  </si>
  <si>
    <t>978-5-16-018051-9</t>
  </si>
  <si>
    <t>38.04.01, 38.04.03, 38.04.04, 38.05.01, 10.05.05, 38.03.01</t>
  </si>
  <si>
    <t>Вятский государственный университет</t>
  </si>
  <si>
    <t>Июнь, 2023</t>
  </si>
  <si>
    <t>353600.06.01</t>
  </si>
  <si>
    <t>Кадровая политика корпорации: Моногр. / Н.М.Кузьмина - М.:НИЦ ИНФРА-М,2021 - 167 с.-(Науч.мысль)(О)</t>
  </si>
  <si>
    <t>КАДРОВАЯ ПОЛИТИКА КОРПОРАЦИИ</t>
  </si>
  <si>
    <t>Кузьмина Н.М.</t>
  </si>
  <si>
    <t>978-5-16-010891-9</t>
  </si>
  <si>
    <t>38.04.03, 38.03.03, 44.03.01</t>
  </si>
  <si>
    <t>Самарский государственный технический университет</t>
  </si>
  <si>
    <t>715105.04.01</t>
  </si>
  <si>
    <t>Кадровые риски и их оценка: Уч.пос. / А.Е.Митрофанова - М.:НИЦ ИНФРА-М,2022 - 137 с.(ВО: Бакалавр.)(П)</t>
  </si>
  <si>
    <t>КАДРОВЫЕ РИСКИ И ИХ ОЦЕНКА</t>
  </si>
  <si>
    <t>Митрофанова А.Е., Захаров Д.К., Ашурбеков Р.А.</t>
  </si>
  <si>
    <t>978-5-16-015820-4</t>
  </si>
  <si>
    <t>38.03.03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</si>
  <si>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38.03.03 «Управление персоналом» (квалификация (степень) «бакалавр») (протокол № 18 от 25.11.2019)</t>
  </si>
  <si>
    <t>657951.06.01</t>
  </si>
  <si>
    <t>Кадровый консалтинг: Уч. / О.Л.Чуланова - М.:НИЦ ИНФРА-М,2023 - 358 с.-(ВО: Магистратура)(П)</t>
  </si>
  <si>
    <t>КАДРОВЫЙ КОНСАЛТИНГ</t>
  </si>
  <si>
    <t>Чуланова О.Л.</t>
  </si>
  <si>
    <t>978-5-16-012953-2</t>
  </si>
  <si>
    <t>Рекомендовано в качестве учебника для студентов высших учебных заведений, обучающихся по направлениям подготовки 38.04.03 «Управление персоналом», 38.04.02 «Менеджмент», 38.04.04 «Государственное и муниципальное управление» (квалификация (степень) «магистр»)</t>
  </si>
  <si>
    <t>Сургутский государственный университет</t>
  </si>
  <si>
    <t>076300.11.01</t>
  </si>
  <si>
    <t>Как защитить свою диссертацию: Практ.пособие / С.Д.Резник - 5 изд. - М.:НИЦ ИНФРА-М,2018-318с(П)</t>
  </si>
  <si>
    <t>КАК ЗАЩИТИТЬ СВОЮ ДИССЕРТАЦИЮ, ИЗД.5</t>
  </si>
  <si>
    <t>978-5-16-011105-6</t>
  </si>
  <si>
    <t>00.04.16, 00.06.01</t>
  </si>
  <si>
    <t>Рекомендовано к изданию Советом Учебно-методического объединения вузов России по образованию в области менеджмента</t>
  </si>
  <si>
    <t>0516</t>
  </si>
  <si>
    <t>255400.10.01</t>
  </si>
  <si>
    <t>Карьерный менеджмент: Уч. пос./ С.Д. Резник - 2 изд. - М.: ИНФРА-М, 2023 - 237 с. (ВО: Бакалавриат)</t>
  </si>
  <si>
    <t>КАРЬЕРНЫЙ МЕНЕДЖМЕНТ, ИЗД.3</t>
  </si>
  <si>
    <t>Резник С. Д., Игошина И. А.</t>
  </si>
  <si>
    <t>978-5-16-009452-6</t>
  </si>
  <si>
    <t>38.03.10, 38.03.01, 38.03.05, 38.03.06, 38.03.07, 38.03.02, 38.03.04, 38.03.03</t>
  </si>
  <si>
    <t>255400.08.01</t>
  </si>
  <si>
    <t>Карьерный менеджмент: Уч.пос. / С.Д.Резник - 4 изд.-М.:НИЦ ИНФРА-М,2023.-196 с.(ВО: Бакалавриат)(п)</t>
  </si>
  <si>
    <t>КАРЬЕРНЫЙ МЕНЕДЖМЕНТ, ИЗД.4</t>
  </si>
  <si>
    <t>Резник С.Д., Игошина И.А., Черницов А.Е. и др.</t>
  </si>
  <si>
    <t>978-5-16-017943-8</t>
  </si>
  <si>
    <t>Рекомендовано Советом УМО по образованию в области менеджмента в качестве учебного пособия для студентов, обучающихся по направлениям подготовки «Менеджмент», «Управление персоналом», «Государственное и муниципальное управление»</t>
  </si>
  <si>
    <t>Январь, 2023</t>
  </si>
  <si>
    <t>0423</t>
  </si>
  <si>
    <t>448850.09.01</t>
  </si>
  <si>
    <t>Категорийный менеджмент: Уч.пос. / В.М.Киселев - М.:Юр.Норма, НИЦ ИНФРА-М,2023 - 208 с.(О)</t>
  </si>
  <si>
    <t>КАТЕГОРИЙНЫЙ МЕНЕДЖМЕНТ</t>
  </si>
  <si>
    <t>Киселев В. М., Николаева М. А.</t>
  </si>
  <si>
    <t>978-5-91768-424-6</t>
  </si>
  <si>
    <t>38.04.02, 38.03.07, 44.03.05</t>
  </si>
  <si>
    <t>Допущено Учебно-методическим объединением по образованию в области коммерции и по образованию в области маркетинга в качестве учебного пособия для студентов вузов, обучающихся по направлению 100700.62 «Торговое дело»</t>
  </si>
  <si>
    <t>139700.05.01</t>
  </si>
  <si>
    <t>Квалиметрия и системный анализ: Уч.пос. / В.И.Кириллов -2 изд.-М:НИЦ ИНФРА-М,Нов.знан.,2017-440с(ВО)</t>
  </si>
  <si>
    <t>КВАЛИМЕТРИЯ И СИСТЕМНЫЙ АНАЛИЗ, ИЗД.2</t>
  </si>
  <si>
    <t>Кириллов В. И.</t>
  </si>
  <si>
    <t>978-5-16-005464-3</t>
  </si>
  <si>
    <t>15.02.08, 35.02.03, 27.03.03, 27.03.01, 20.03.02, 27.04.01, 27.04.03, 27.04.05</t>
  </si>
  <si>
    <t>Рекомендовано УМЦ "Профессиональный учебник" в качестве учебного пособия для студентов высших учебных заведений, обучающихся по специальности "Метрологическое обеспечение информационных систем и сетей"</t>
  </si>
  <si>
    <t>Московский государственный медико-стоматологический университет им. А.И. Евдокимова</t>
  </si>
  <si>
    <t>422150.09.01</t>
  </si>
  <si>
    <t>Коммерческая логистика: Уч.пос. / Н.А.Нагапетьянц - 2 изд  - М.:НИЦ ИНФРА-М,2024 - 259 с.-(П)</t>
  </si>
  <si>
    <t>КОММЕРЧЕСКАЯ ЛОГИСТИКА, ИЗД.2</t>
  </si>
  <si>
    <t>Нагапетьянц Н.А., Каменева Н.Г., Поляков В.А. и др.</t>
  </si>
  <si>
    <t>978-5-16-015875-4</t>
  </si>
  <si>
    <t>38.02.04, 42.03.01, 29.04.02, 38.03.01, 38.03.06, 38.03.02, 41.03.06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</si>
  <si>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 38.03.01 «Экономика», 38.03.02 «Менеджмент» (квалификация (степень) «бакалавр») (протокол № 8 от 22.06.2020)</t>
  </si>
  <si>
    <t>422150.06.01</t>
  </si>
  <si>
    <t>Коммерческая логистика: Уч.пос. / Н.А.Нагапетьянц -М.:Вуз. уч., НИЦ ИНФРА-М,2020.-253 с.(П)</t>
  </si>
  <si>
    <t>КОММЕРЧЕСКАЯ ЛОГИСТИКА</t>
  </si>
  <si>
    <t>978-5-9558-0303-6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</si>
  <si>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направлениям подготовки 38.04.02 «Менеджмент», 38.04.01 «Экономика» (квалификация (степень) «магистр»)</t>
  </si>
  <si>
    <t>719421.04.01</t>
  </si>
  <si>
    <t>Коммерческая логистика: Уч.пос. / Под ред. Нагапетьянца Н.А. - 2 изд. - М.:НИЦ ИНФРА-М,2023-259 с.(П)</t>
  </si>
  <si>
    <t>978-5-16-015895-2</t>
  </si>
  <si>
    <t>38.02.04, 23.02.01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</si>
  <si>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</si>
  <si>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177250.03.01</t>
  </si>
  <si>
    <t>Коммунальная деят.как сфера общ.благ и естест. моноп. А.Н.Ряховская-М.:Магистр,НИЦ ИНФРА-М,2017-96с.</t>
  </si>
  <si>
    <t>КОММУНАЛЬНАЯ ДЕЯТЕЛЬНОСТЬ КАК СФЕРА ОБЩЕСТВЕННЫХ БЛАГ И ЕСТЕСТВЕННОЙ МОНОПОЛИИ</t>
  </si>
  <si>
    <t>Ряховская А. Н., Таги-Заде Ф. Г.</t>
  </si>
  <si>
    <t>978-5-9776-0213-6</t>
  </si>
  <si>
    <t>38.04.04, 38.06.01, 38.03.04, 44.03.05</t>
  </si>
  <si>
    <t>278000.05.01</t>
  </si>
  <si>
    <t>Коммуникативный менеджмент: Уч.пос. / А.А.Шунейко - М.:Вуз.уч.,НИЦ ИНФРА-М,2024 - 176 с.(О)</t>
  </si>
  <si>
    <t>КОММУНИКАТИВНЫЙ МЕНЕДЖМЕНТ</t>
  </si>
  <si>
    <t>Шунейко А.А., Авдеенко И.А.</t>
  </si>
  <si>
    <t>978-5-9558-0488-0</t>
  </si>
  <si>
    <t>42.03.02, 42.04.05, 42.04.02, 38.04.02, 42.03.05, 38.03.02, 41.03.06</t>
  </si>
  <si>
    <t>Комсомольский-на-Амуре государственный университет</t>
  </si>
  <si>
    <t>338900.08.01</t>
  </si>
  <si>
    <t>Компетентностный подход в упр. персоналом...: Уч.пос. / О.Л.Чуланова - 2изд.-М.:ИНФРА-М,2024-116с(ВО)(о)</t>
  </si>
  <si>
    <t>КОМПЕТЕНТНОСТНЫЙ ПОДХОД В УПРАВЛЕНИИ ПЕРСОНАЛОМ: СХЕМЫ, ТАБЛИЦЫ, ПРАКТИКА ПРИМЕНЕНИЯ, ИЗД.2</t>
  </si>
  <si>
    <t>978-5-16-018840-9</t>
  </si>
  <si>
    <t>38.04.02, 38.04.03, 38.06.01, 23.03.01, 38.03.01, 38.03.02, 38.03.03, 44.03.01, 41.03.06, 51.03.02</t>
  </si>
  <si>
    <t>Рекомендовано в качестве учебного пособия для студентов образовательных организаций высшего образования, обучающихся по направлениям подготовки 38.03.03 «Управление персоналом» (уровень бакалавриата), 38.04.03 «Управление персоналом» (уровень магистратуры) и 38.06.01 «Экономика» (уровень подготовки кадров высшей квалификации)</t>
  </si>
  <si>
    <t>701559.03.01</t>
  </si>
  <si>
    <t>Компетентностный подход в управ. персоналом: Уч. / О.Л.Чуланова-М.:НИЦ ИНФРА-М,2023.-368 с.(ВО)(П)</t>
  </si>
  <si>
    <t>КОМПЕТЕНТНОСТНЫЙ ПОДХОД В УПРАВЛЕНИИ ПЕРСОНАЛОМ</t>
  </si>
  <si>
    <t>978-5-16-014886-1</t>
  </si>
  <si>
    <t>38.03.01, 38.03.03, 41.03.06</t>
  </si>
  <si>
    <t>Рекомендовано к публикации и использованию в учебном процессе Редакционно-издательским советом бюджетного учреждения высшего образования Ханты-Мансийского автономного округа — Югры «Сургутский государственный университет»</t>
  </si>
  <si>
    <t>338900.02.98</t>
  </si>
  <si>
    <t>Компетентностный подход в управл. персоналом:: Уч.пос. /О.Л.Чуланова -М.:НИЦ ИНФРА-М,2017-73с(ВО)(О)</t>
  </si>
  <si>
    <t>КОМПЕТЕНТНОСТНЫЙ ПОДХОД В УПРАВЛЕНИИ ПЕРСОНАЛОМ: СХЕМЫ, ТАБЛИЦЫ, ПРАКТИКА ПРИМЕНЕНИЯ</t>
  </si>
  <si>
    <t>978-5-16-010724-0</t>
  </si>
  <si>
    <t>Рекомендовано в качестве учебного пособия для студентов высших учебных заведений, обучающихся по направлению подготовки 38.03.03 «Управление персоналом» (квалификация (степень) «бакалавр»)</t>
  </si>
  <si>
    <t>645296.08.01</t>
  </si>
  <si>
    <t>Комплаенс-програм.организации: Практ. пос. /В.А.Черепанова,- 3изд.-М.:Вуз.уч., НИЦ ИНФРА-М,2018-288с</t>
  </si>
  <si>
    <t>КОМПЛАЕНС-ПРОГРАММА ОРГАНИЗАЦИИ, ИЗД.3</t>
  </si>
  <si>
    <t>Черепанова В.А.</t>
  </si>
  <si>
    <t>978-5-9558-0600-6</t>
  </si>
  <si>
    <t>38.04.02, 38.03.01, 38.03.02, 38.03.04, 38.03.03, 41.03.06</t>
  </si>
  <si>
    <t>645296.14.01</t>
  </si>
  <si>
    <t>Комплаенс-программа организации: Прак. рук. / В.А.Черепанова - 5 изд. - М.:НИЦ ИНФРА-М,2023-285 с.(ВО)(П)</t>
  </si>
  <si>
    <t>КОМПЛАЕНС-ПРОГРАММА ОРГАНИЗАЦИИ, ИЗД.5</t>
  </si>
  <si>
    <t>Переплет 7БЦ+каптал</t>
  </si>
  <si>
    <t>978-5-16-016722-0</t>
  </si>
  <si>
    <t>Практическое руководство</t>
  </si>
  <si>
    <t>645296.05.01</t>
  </si>
  <si>
    <t>Комплаенс-программа организации: Практ. пос. / В.А.Черепанова - М.:Вуз.уч.,НИЦ ИНФРА-М,2017-288с.(П)</t>
  </si>
  <si>
    <t>КОМПЛАЕНС-ПРОГРАММА ОРГАНИЗАЦИИ, ИЗД.2</t>
  </si>
  <si>
    <t>978-5-9558-0530-6</t>
  </si>
  <si>
    <t>645296.10.01</t>
  </si>
  <si>
    <t>Комплаенс-программа организации: Практ. рук. / В.А.Черепанова - 4-изд. - М.:НИЦ ИНФРА-М,2020-288 с.(П)</t>
  </si>
  <si>
    <t>КОМПЛАЕНС-ПРОГРАММА ОРГАНИЗАЦИИ, ИЗД.4</t>
  </si>
  <si>
    <t>978-5-16-014703-1</t>
  </si>
  <si>
    <t>0419</t>
  </si>
  <si>
    <t>765368.01.01</t>
  </si>
  <si>
    <t>Компьютерные технологии в проф. деят.: Уч. / Н.В.Кузнецова-М.:НИЦ ИНФРА-М,2023.-280 с.(ВО:Магистр)(п)</t>
  </si>
  <si>
    <t>КОМПЬЮТЕРНЫЕ ТЕХНОЛОГИИ В ПРОФЕССИОНАЛЬНОЙ ДЕЯТЕЛЬНОСТИ</t>
  </si>
  <si>
    <t>Кузнецова Н.В., Морозкина С.С.</t>
  </si>
  <si>
    <t>978-5-16-017539-3</t>
  </si>
  <si>
    <t>38.04.01</t>
  </si>
  <si>
    <t>Кубанский государственный аграрный университет им. И.Т. Трубилина</t>
  </si>
  <si>
    <t>415200.08.01</t>
  </si>
  <si>
    <t>Конкурентоориентированность и конкуренто..: Моногр. /С.Д.Резник -2 изд.-М.:НИЦ ИНФРА-М, 2024 -292с(п)</t>
  </si>
  <si>
    <t>КОНКУРЕНТООРИЕНТИРОВАННОСТЬ И КОНКУРЕНТОСПОСОБНОСТЬ СТУДЕНЧЕСКОЙ МОЛОДЕЖИ РОССИИ: ОПЫТ, ПРОБЛЕМЫ, ПЕРСПЕКТИВЫ, ИЗД.2</t>
  </si>
  <si>
    <t>Резник С.Д., Коновалова Е.С., Сочилова А.А. и др.</t>
  </si>
  <si>
    <t>978-5-16-011770-6</t>
  </si>
  <si>
    <t>39.04.01, 38.04.03, 38.03.01, 38.03.03, 39.03.01, 41.03.06</t>
  </si>
  <si>
    <t>775313.01.01</t>
  </si>
  <si>
    <t>Конкурентоспособность и инвестиц. привлекат. регионов: Уч.пос. / Н.К.Попадюк-М.:НИЦ ИНФРА-М,2023.-147 с.(ВО)</t>
  </si>
  <si>
    <t>КОНКУРЕНТОСПОСОБНОСТЬ И ИНВЕСТИЦИОННАЯ ПРИВЛЕКАТЕЛЬНОСТЬ РЕГИОНОВ</t>
  </si>
  <si>
    <t>Попадюк Н.К., Рождественская И.А.</t>
  </si>
  <si>
    <t>978-5-16-017865-3</t>
  </si>
  <si>
    <t>38.04.09, 38.04.01, 38.04.02, 38.04.04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</si>
  <si>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38.04.04 «Государственное и муниципальное управление» (квалификация (степень) «бакалавр») (протокол № 10 от 21.12.2022)</t>
  </si>
  <si>
    <t>771269.04.01</t>
  </si>
  <si>
    <t>Конкурентоспособность орг. и территорий: Уч. / Г.Д.Антонов - М.:НИЦ ИНФРА-М,2023 - 375 с.(ВО)(П)</t>
  </si>
  <si>
    <t>КОНКУРЕНТОСПОСОБНОСТЬ ОРГАНИЗАЦИЙ И ТЕРРИТОРИЙ</t>
  </si>
  <si>
    <t>Антонов Г.Д., Иванова О.П., Тумин В.М. и др.</t>
  </si>
  <si>
    <t>978-5-16-018499-9</t>
  </si>
  <si>
    <t>27.03.02, 38.04.09, 43.04.01</t>
  </si>
  <si>
    <t>Допущено Учебно-методическим объединением вузов России по образованию в области производственного менеджмента для студентов высших учебных заведений, обучающихся по направлению подготовки 38.03.02 «Менеджмент» (профиль «Производственный менеджмент»), по магистерской программе «Производственный менеджмент», а также для экономико-организационной подготовки студентов технологических направлений и специальностей по дисциплинам экономико-организационного и управленческого циклов</t>
  </si>
  <si>
    <t>426950.03.01</t>
  </si>
  <si>
    <t>Конкурентоспособность товаров и... Практ.: Уч.пос./В.В.Квасникова-ИНФРА-М;Нов.знан.,2015-184с(ВО)(о)</t>
  </si>
  <si>
    <t>КОНКУРЕНТОСПОСОБНОСТЬ ТОВАРОВ И ОРГАНИЗАЦИЙ. ПРАКТИКУМ</t>
  </si>
  <si>
    <t>Квасникова В.В., Жучкевич О.Н.</t>
  </si>
  <si>
    <t>978-5-16-010520-8</t>
  </si>
  <si>
    <t>38.04.07, 38.03.07</t>
  </si>
  <si>
    <t>Допущено Министерством образования Республики Беларусь в качестве учебного пособия для студентов учреждений высшего образования по специальностям «Коммерческая деятельность», «Товароведение и экспертиза товаров»</t>
  </si>
  <si>
    <t>Витебский государственный технологический университет</t>
  </si>
  <si>
    <t>339100.07.01</t>
  </si>
  <si>
    <t>Консалтинг персонала: Уч.пос. / О.Л.Чуланова - 2 изд. - М.:НИЦ ИНФРА-М,2020 - 196 с.(ВО:Магистр.)(П)</t>
  </si>
  <si>
    <t>КОНСАЛТИНГ ПЕРСОНАЛА, ИЗД.2</t>
  </si>
  <si>
    <t>978-5-16-012742-2</t>
  </si>
  <si>
    <t>38.04.03, 43.04.03, 23.03.01, 38.03.01, 38.03.04, 38.03.03, 44.03.01, 41.03.06, 51.03.02</t>
  </si>
  <si>
    <t>Допущено Советом Учебно-методического объединения по образованию в области менеджмента в качестве учебного пособия по направлению «Менеджмент»</t>
  </si>
  <si>
    <t>339100.08.01</t>
  </si>
  <si>
    <t>Консалтинг персонала: Уч.пос. / О.Л.Чуланова-М.:НИЦ ИНФРА-М,2023-163с.(ВО:Магистр.)(П)</t>
  </si>
  <si>
    <t>КОНСАЛТИНГ ПЕРСОНАЛА</t>
  </si>
  <si>
    <t>978-5-16-010725-7</t>
  </si>
  <si>
    <t>Допущено Советом Учебно-методического объединения по образованию в области менеджмента в качестве учебного пособия по направлению подготовки 38.03.02 «Менеджмент» (уровень подготовки «Магистратура»)</t>
  </si>
  <si>
    <t>151550.04.01</t>
  </si>
  <si>
    <t>Конструктор регулярного менедж.: Пакет мультимед. уч. пос./В.В.Кондратьев - ИНФРА-М,2015-256с+CD-ROM</t>
  </si>
  <si>
    <t>КОНСТРУКТОР РЕГУЛЯРНОГО МЕНЕДЖМЕНТА</t>
  </si>
  <si>
    <t>Кондратьев В.В.</t>
  </si>
  <si>
    <t>Управление производством</t>
  </si>
  <si>
    <t>978-5-16-004698-3</t>
  </si>
  <si>
    <t>38.04.01, 38.04.02, 38.04.03, 38.04.04, 38.04.05, 38.06.01, 38.03.01, 38.03.05, 38.03.02, 38.03.04, 38.03.03, 44.03.01, 44.03.05</t>
  </si>
  <si>
    <t>Московский физико-технический институт (национальный исследовательский университет)</t>
  </si>
  <si>
    <t>128750.06.01</t>
  </si>
  <si>
    <t>Консультирование в упр.человеч.ресурс.: Уч.пос./Н.И.Шаталова-НИЦ ИНФРА-М,2019-221с.(ВО:Бакалавр.)(п)</t>
  </si>
  <si>
    <t>КОНСУЛЬТИРОВАНИЕ В УПРАВЛЕНИИ ЧЕЛОВЕЧЕСКИМИ РЕСУРСАМИ</t>
  </si>
  <si>
    <t>Шаталова Н. И., Александрова Н. А., Брюхова О. Ю., Гилева О. Б., Шаталова Н. И.</t>
  </si>
  <si>
    <t>978-5-16-003824-7</t>
  </si>
  <si>
    <t>38.04.04, 38.03.02, 38.03.04, 41.03.06</t>
  </si>
  <si>
    <t>Допущено Советом Учебно-методического объединения по образованию в области менеджмента в качестве учебного пособия по дисциплине региональной составляющей специальности «Управление персоналом»</t>
  </si>
  <si>
    <t>Уральский государственный университет путей сообщения</t>
  </si>
  <si>
    <t>205200.07.01</t>
  </si>
  <si>
    <t>Контроллинг на промышленном предпр.: Уч. / А.М.Карминский - М.: ИД ФОРУМ: ИНФРА-М, 2022-304с.(ВО) (п)</t>
  </si>
  <si>
    <t>КОНТРОЛЛИНГ НА ПРОМЫШЛЕННОМ ПРЕДПРИЯТИИ</t>
  </si>
  <si>
    <t>Карминский А. М., Фалько С. Г., Грачев И. Д., Иванова Н. Ю., Маликова С. Г., Карминский А. М.</t>
  </si>
  <si>
    <t>978-5-8199-0549-4</t>
  </si>
  <si>
    <t>27.04.07, 38.04.02, 27.04.06, 38.03.01, 38.03.02, 41.03.06</t>
  </si>
  <si>
    <t>Рекомендовано Учебно-методическим объединением вузов по университетскому политехническому образованию в качестве учебника для студентов вузов, обучающихся по направлению 220700 «Организация и управление наукоемкими производствами» специальности 22070</t>
  </si>
  <si>
    <t>080990.14.01</t>
  </si>
  <si>
    <t>Контроллинг: Уч. / Под ред. Карминского А.М. - 3 изд. -М.:ИД ФОРУМ,НИЦ ИНФРА-М,2023-336с.(ВО)(П)</t>
  </si>
  <si>
    <t>КОНТРОЛЛИНГ, ИЗД.3</t>
  </si>
  <si>
    <t>Карминский А.М., Фалько С.Г., Жевага А.А. и др.</t>
  </si>
  <si>
    <t>978-5-8199-0825-9</t>
  </si>
  <si>
    <t>Допущено Учебно-методическим объединением вузов по университетскому политехническому образованию в качестве учебника для студентов высших учебных заведений, обучающихся по направлению подготовки 27.04.06 «Организация и управление наукоемкими производствами»</t>
  </si>
  <si>
    <t>664178.08.01</t>
  </si>
  <si>
    <t>Конфигурирование и моделир.в сист.«1С: Предпр.»: Уч. /Э.Г.Дадян - М.:Вуз.уч. НИЦ ИНФРА-М,2024 - 417 с(П)</t>
  </si>
  <si>
    <t>КОНФИГУРИРОВАНИЕ И МОДЕЛИРОВАНИЕ В СИСТЕМЕ «1С: ПРЕДПРИЯТИЕ»</t>
  </si>
  <si>
    <t>Высшее образование: Магистратура (ФУ)</t>
  </si>
  <si>
    <t>978-5-9558-0581-8</t>
  </si>
  <si>
    <t>02.03.02, 03.03.02, 01.03.04, 09.03.01, 09.03.04, 01.04.04, 09.03.03</t>
  </si>
  <si>
    <t>179350.11.01</t>
  </si>
  <si>
    <t>Конфиденциальное делопроизводство: Уч.пос. / Т.А.Гугуева - 2 изд. - М.:НИЦ ИНФРА-М,2024-199с.(ВО)(П)</t>
  </si>
  <si>
    <t>КОНФИДЕНЦИАЛЬНОЕ ДЕЛОПРОИЗВОДСТВО, ИЗД.2</t>
  </si>
  <si>
    <t>Гугуева Т.А.</t>
  </si>
  <si>
    <t>978-5-16-012525-1</t>
  </si>
  <si>
    <t>31.02.02, 46.03.02, 46.04.02, 23.03.01, 38.03.02, 38.03.04</t>
  </si>
  <si>
    <t>Рекомендовано в качестве учебного пособия для студентов высших учебных заведений, обучающихся по направлениям подготовки 46.03.02 «Документоведение и архивоведение», 38.03.02 «Менеджмент» (квалификация (степень) «бакалавр»)</t>
  </si>
  <si>
    <t>Газпром, ф-л Служба корпоративной защиты ПАО "Газпром" в г. Москве</t>
  </si>
  <si>
    <t>747208.03.01</t>
  </si>
  <si>
    <t>Конфиденциальное делопроизводство: Уч.пос. / Т.А.Гугуева - 2 изд.-М.:НИЦ ИНФРА-М,2023-199 с.-(СПО)(П)</t>
  </si>
  <si>
    <t>978-5-16-016585-1</t>
  </si>
  <si>
    <t>40.02.02, 40.02.03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</si>
  <si>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10.02.00 «Информационная безопасность», 38.02.00 «Экономика и менеджмент», 40.02.00» Юриспруденция», 46.02.00» История и археология»  (протокол № 8 от 22.06.2020)</t>
  </si>
  <si>
    <t>745645.02.01</t>
  </si>
  <si>
    <t>Конфиденциальное делопроизводство: Уч.пос. / Т.А.Гугуева-М.:НИЦ ИНФРА-М,2021.-199 с.(ВО: Спец.)(П)</t>
  </si>
  <si>
    <t>КОНФИДЕНЦИАЛЬНОЕ ДЕЛОПРОИЗВОДСТВО</t>
  </si>
  <si>
    <t>978-5-16-016537-0</t>
  </si>
  <si>
    <t>40.05.04, 38.00.00, 46.03.02, 46.04.02, 10.05.04, 40.05.01, 40.05.02, 40.05.03, 38.05.01, 38.05.02, 10.05.01, 10.05.03, 10.05.05, 10.05.02, 10.05.07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</si>
  <si>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программам специалитета (протокол № 8 от 22.06.2020)</t>
  </si>
  <si>
    <t>244600.09.01</t>
  </si>
  <si>
    <t>Концепция компетентностного подхода в упр. персоналом: Моногр./ А.Я.Кибанов -М.:НИЦ ИНФРА-М,2024-156 с(О)</t>
  </si>
  <si>
    <t>КОНЦЕПЦИЯ КОМПЕТЕНТНОСТНОГО ПОДХОДА В УПРАВЛЕНИИ ПЕРСОНАЛОМ</t>
  </si>
  <si>
    <t>Кибанов А.Я., Митрофанова Е.А., Коновалова В.Г. и др.</t>
  </si>
  <si>
    <t>978-5-16-009530-1</t>
  </si>
  <si>
    <t>786671.01.01</t>
  </si>
  <si>
    <t>Концепция формирования soft skills выпуск. вузов: Моногр. / О.Л.Чуланова-М.:НИЦ ИНФРА-М,2023.-147 с.(о)</t>
  </si>
  <si>
    <t>КОНЦЕПЦИЯ ФОРМИРОВАНИЯ SOFT SKILLS ВЫПУСКНИКОВ ВУЗОВ</t>
  </si>
  <si>
    <t>Богдан Е.С., Чуланова О.Л.</t>
  </si>
  <si>
    <t>978-5-16-018178-3</t>
  </si>
  <si>
    <t>38.04.01, 38.04.02, 38.04.03, 38.06.01</t>
  </si>
  <si>
    <t>698859.03.01</t>
  </si>
  <si>
    <t>Кооперационно-сетевые  взаимодействия как ресурс: Моногр./ Куимов В.В.-М.:НИЦ ИНФРА-М,2023-225с)(О)</t>
  </si>
  <si>
    <t>КООПЕРАЦИОННО-СЕТЕВЫЕ  ВЗАИМОДЕЙСТВИЯ КАК РЕСУРС САМООРГАНИЗАЦИИ И ДОСТИЖЕНИЯ КАЧЕСТВЕННЫХ РЕЗУЛЬТАТОВ</t>
  </si>
  <si>
    <t>Куимов В.В., Суслова Ю.Ю., Щербенко Е.В. и др.</t>
  </si>
  <si>
    <t>978-5-16-018490-6</t>
  </si>
  <si>
    <t>048500.16.01</t>
  </si>
  <si>
    <t>Корпоративная логистика в вопросах и ответах: Моногр. / В.И.Сергеев - 2 изд.-М.:НИЦ ИНФРА-М,2023.-634 с.(П)</t>
  </si>
  <si>
    <t>КОРПОРАТИВНАЯ ЛОГИСТИКА В ВОПРОСАХ И ОТВЕТАХ, ИЗД.2</t>
  </si>
  <si>
    <t>Сергеев В.И., Будрина Е.В., Домнина С.В. и др.</t>
  </si>
  <si>
    <t>978-5-16-004556-6</t>
  </si>
  <si>
    <t>23.03.01, 38.03.01</t>
  </si>
  <si>
    <t>344500.06.01</t>
  </si>
  <si>
    <t>Корпоративная память как управленч.ресурс: Моногр. / З.В.Брагина-М.:НИЦ ИНФРА-М,2023-112с.(Науч.мысль)(О)</t>
  </si>
  <si>
    <t>КОРПОРАТИВНАЯ ПАМЯТЬ КАК УПРАВЛЕНЧЕСКИЙ РЕСУРС. КОЛЛЕКТИВНОЕ БЕССОЗНАТЕЛЬНОЕ ПРЕДПРИЯТИЯ: ПОЧЕМУ ЧЕЛОВЕЧЕСКОЙ ПАМЯТИ НЕДОСТАТОЧНО</t>
  </si>
  <si>
    <t>З.В.Брагина, А.А.Ражева</t>
  </si>
  <si>
    <t>978-5-16-010786-8</t>
  </si>
  <si>
    <t>Костромской государственный университет</t>
  </si>
  <si>
    <t>476950.07.01</t>
  </si>
  <si>
    <t>Корпоративная соц.ответственность: Уч.пос./В.В.Бондаренко-М.:НИЦ ИНФРА-М,2023.-304 с.(ВО:Бакалавр.)</t>
  </si>
  <si>
    <t>КОРПОРАТИВНАЯ СОЦИАЛЬНАЯ ОТВЕТСТВЕННОСТЬ</t>
  </si>
  <si>
    <t>Бондаренко В.В., Кузнецова Е.В., Танина М.А. и др.</t>
  </si>
  <si>
    <t>978-5-16-010231-3</t>
  </si>
  <si>
    <t>38.03.02, 41.03.06</t>
  </si>
  <si>
    <t>Финансовый университет при Правительстве Российской Федерации, Пензенский ф-л</t>
  </si>
  <si>
    <t>677493.02.01</t>
  </si>
  <si>
    <t>Корпоративное управление в банках: Уч.пос. / А.Ю.Рыманов-М.:НИЦ ИНФРА-М,2022.-111 с.(ВО:Магистр.)(О)</t>
  </si>
  <si>
    <t>КОРПОРАТИВНОЕ УПРАВЛЕНИЕ В БАНКАХ</t>
  </si>
  <si>
    <t>Рыманов А.Ю.</t>
  </si>
  <si>
    <t>978-5-16-013675-2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</si>
  <si>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38.04.01 «Экономика», 38.04.08 «Финансы и кредит» (квалификация (степень) «магистр»)</t>
  </si>
  <si>
    <t>Новосибирский государственный университет экономики и управления</t>
  </si>
  <si>
    <t>693115.03.01</t>
  </si>
  <si>
    <t>Корпоративное управление. Методол. инструментарий: Уч. / А.Е.Тюлин-М.:НИЦ ИНФРА-М,2023-216с.(ВО)(П)</t>
  </si>
  <si>
    <t>КОРПОРАТИВНОЕ УПРАВЛЕНИЕ. МЕТОДОЛОГИЧЕСКИЙ ИНСТРУМЕНТАРИЙ</t>
  </si>
  <si>
    <t>Тюлин А.Е.</t>
  </si>
  <si>
    <t>978-5-16-014581-5</t>
  </si>
  <si>
    <t>27.04.07, 38.03.01, 38.03.02</t>
  </si>
  <si>
    <t>634096.08.01</t>
  </si>
  <si>
    <t>Корпоративное управление: Уч. / А.Г.Дементьева - М.:Магистр, НИЦ ИНФРА-М,2024 - 496с.-(Магистратура)(П)</t>
  </si>
  <si>
    <t>КОРПОРАТИВНОЕ УПРАВЛЕНИЕ</t>
  </si>
  <si>
    <t>Дементьева А.Г.</t>
  </si>
  <si>
    <t>978-5-9776-0431-4</t>
  </si>
  <si>
    <t>35.03.02, 38.04.02, 38.04.03, 38.03.02, 38.03.03, 41.03.06</t>
  </si>
  <si>
    <t>203200.10.01</t>
  </si>
  <si>
    <t>Корпоративное управление: Уч. / В.Р.Веснин - М.:НИЦ ИНФРА-М,2023 - 272 с.-(ВО: Магистратура)(П)</t>
  </si>
  <si>
    <t>Веснин В.Р., Кафидов В.В.</t>
  </si>
  <si>
    <t>978-5-16-005538-1</t>
  </si>
  <si>
    <t>38.04.01, 38.04.02, 38.03.01, 38.03.02, 41.03.06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</si>
  <si>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направлению подготовки 38.04.02 «Менеджмент» (квалификация (степень) «магистр»)</t>
  </si>
  <si>
    <t>158300.09.01</t>
  </si>
  <si>
    <t>Корпоративное управление: Уч. / И.Ю.Бочарова - 2 изд.-М.:НИЦ ИНФРА-М,2020-395 с.(ВО: Бакалавриат)(П)</t>
  </si>
  <si>
    <t>КОРПОРАТИВНОЕ УПРАВЛЕНИЕ, ИЗД.2</t>
  </si>
  <si>
    <t>Рыманов А.Ю., Бочарова И.Ю.</t>
  </si>
  <si>
    <t>978-5-16-012843-6</t>
  </si>
  <si>
    <t>40.03.01, 38.04.02, 38.04.04, 27.04.05, 38.03.01, 38.03.02, 38.03.04, 41.03.06</t>
  </si>
  <si>
    <t>Рекомендовано Советом Учебно-методического объединения по образованию в области менеджмента в качестве учебника по направлению подготовки 38.03.02 «Менеджмент»</t>
  </si>
  <si>
    <t>158300.05.98</t>
  </si>
  <si>
    <t>Корпоративное управление: Уч. / И.Ю.Бочарова - М.:НИЦ ИНФРА-М,2017-368с.(ВО: Бакалавриат)(П)</t>
  </si>
  <si>
    <t>Бочарова И.Ю.</t>
  </si>
  <si>
    <t>978-5-16-004827-7</t>
  </si>
  <si>
    <t>Рекомендовано Советом Учебно-методического объединения по образованию в области менеджмента в качестве учебника по направлению подготовки 38.03.02 "Менеджмент"</t>
  </si>
  <si>
    <t>Институт менеджмента, экономики и инноваций</t>
  </si>
  <si>
    <t>683269.02.01</t>
  </si>
  <si>
    <t>Корпоративное управление: Уч. / С.В.Рассказов и др.-М.:НИЦ ИНФРА-М,2023.-338 с.-(ВО: Бакалавриат)(П)</t>
  </si>
  <si>
    <t>Рассказов С.В., Рассказова А.Н., Дерюгин П.П.</t>
  </si>
  <si>
    <t>978-5-16-015290-5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</si>
  <si>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укрупненным группам специальностей и направлений 38.03.00 «Экономика и управление», 39.00.00 «Социология» (квалификация (степень) «бакалавр») (протокол № 14 от 30.09.2019)</t>
  </si>
  <si>
    <t>298600.07.01</t>
  </si>
  <si>
    <t>Корпоративное управление: Уч./ В.М. Распопов - М.: Магистр:  ИНФРА-М, 2024. - 352 с. (Бакалавриат)</t>
  </si>
  <si>
    <t>Распопов В. М., Распопов В. В.</t>
  </si>
  <si>
    <t>978-5-9776-0328-7</t>
  </si>
  <si>
    <t>38.04.01, 38.04.02, 38.04.03, 38.04.04, 38.03.01, 38.03.02, 38.03.04, 38.03.03</t>
  </si>
  <si>
    <t>075200.09.01</t>
  </si>
  <si>
    <t>Корпоративное управление: Уч.пос. / Антонов В.Г. - 2 изд. - М.:ИД ФОРУМ, ИНФРА-М Изд. Дом,2022-288с(П)</t>
  </si>
  <si>
    <t>Антонов В. Г., Крылов В. К., Кузьмичев А. Ю., Масленников В. В., Панфилова Е. Е., Серебрякова Г. В., Антонов В. Г.</t>
  </si>
  <si>
    <t>978-5-8199-0412-1</t>
  </si>
  <si>
    <t>Допущено Советом Учебно-методического объединения вузов России по образованию в области менеджмента в качестве учебного пособия по специальности "Менеджмент организации"</t>
  </si>
  <si>
    <t>0210</t>
  </si>
  <si>
    <t>177300.08.01</t>
  </si>
  <si>
    <t>Корпоративные финанс. решения. Эмпирич..: Моногр. / И.В.Ивашковская - М.:НИЦ Инфра-М, 2022-281с (п)</t>
  </si>
  <si>
    <t>КОРПОРАТИВНЫЕ ФИНАНСОВЫЕ РЕШЕНИЯ. ЭМПИРИЧЕСКИЙ АНАЛИЗ РОССИЙСКИХ КОМПАНИЙ (КОРПОРАТИВНЫЕ ФИНАНСОВЫЕ РЕШЕНИЯ НА РАЗВИВАЮЩИХСЯ РЫНКАХ КАПИТАЛА)</t>
  </si>
  <si>
    <t>Ивашковская И. В., Кокорева М. С., Степанова А. Н., Григорьева С. А., Ивашковская И. В.</t>
  </si>
  <si>
    <t>978-5-16-005068-3</t>
  </si>
  <si>
    <t>38.04.01, 38.04.08, 38.04.02, 38.06.01, 38.03.01, 38.03.02, 44.03.05</t>
  </si>
  <si>
    <t>668860.04.01</t>
  </si>
  <si>
    <t>Корпоративные финансы: стоимост. оценка: Уч.пос. / С.Ю.Богатырев - 2 изд. - М.:ИЦ РИОР, НИЦ ИНФРА-М,2022.-164 с.(О)</t>
  </si>
  <si>
    <t>КОРПОРАТИВНЫЕ ФИНАНСЫ: СТОИМОСТНАЯ ОЦЕНКА, ИЗД.2</t>
  </si>
  <si>
    <t>Богатырев С.Ю.</t>
  </si>
  <si>
    <t>978-5-369-01749-4</t>
  </si>
  <si>
    <t>38.04.02, 38.03.01, 38.03.02, 44.03.05</t>
  </si>
  <si>
    <t>222900.07.01</t>
  </si>
  <si>
    <t>Корпоративные финансы: Уч. / А.И.Самылин - М.:НИЦ ИНФРА-М,2022.-472 с..-(ВО: Бакалавриат)</t>
  </si>
  <si>
    <t>КОРПОРАТИВНЫЕ ФИНАНСЫ</t>
  </si>
  <si>
    <t>Самылин А. И.</t>
  </si>
  <si>
    <t>978-5-16-008995-9</t>
  </si>
  <si>
    <t>38.04.01, 38.04.02, 38.03.01, 38.03.02, 44.03.05, 41.03.06</t>
  </si>
  <si>
    <t>Допущено Министерством образования и науки Российской Федерации в качестве учебника для студентов высших учебных заведений, обучающихся по направлениям: 080100.62 «Экономика» и 080200.62 «Менеджмент» (программы подготовки бакалавров), по направлениям</t>
  </si>
  <si>
    <t>682540.06.01</t>
  </si>
  <si>
    <t>Корпоративные финансы: Уч. / И.В.Балынин - М.:НИЦ ИНФРА-М,2024 - 399 с.(ВО)(П)</t>
  </si>
  <si>
    <t>Балынин И.В., Власова Н.В., Губернаторов А.М. и др.</t>
  </si>
  <si>
    <t>978-5-16-014961-5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</si>
  <si>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17 от 11.11.2019)</t>
  </si>
  <si>
    <t>660870.01.01</t>
  </si>
  <si>
    <t>Корпоративные финансы: Уч.пос. / И.Г.Кукукина, - 2 изд.-М.:НИЦ ИНФРА-М,2023.-422 с.(ВО: Магистр.)(П)</t>
  </si>
  <si>
    <t>КОРПОРАТИВНЫЕ ФИНАНСЫ, ИЗД.2</t>
  </si>
  <si>
    <t>Кукукина И.Г., Макарова А.В., Кукукина И.Г.</t>
  </si>
  <si>
    <t>978-5-16-013819-0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</si>
  <si>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9 от 17.11.2022)</t>
  </si>
  <si>
    <t>Ивановский государственный энергетический университет им. В.И. Ленина</t>
  </si>
  <si>
    <t>647675.04.01</t>
  </si>
  <si>
    <t>Корпоративные финансы: Уч.пос. / М.В.Чараева - М.:НИЦ ИНФРА-М,2023.-286 с.-(ВО: Бакалавриат)(П)</t>
  </si>
  <si>
    <t>Чараева М.В.</t>
  </si>
  <si>
    <t>978-5-16-011081-3</t>
  </si>
  <si>
    <t>38.04.08, 38.03.01, 38.03.02, 44.03.05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</si>
  <si>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</si>
  <si>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353400.05.01</t>
  </si>
  <si>
    <t>Корпоративные финансы: Финансовые расчеты: Уч. / А.И.Самылин-М.:НИЦ ИНФРА-М,2024.-472 с..-(ВО)(п)</t>
  </si>
  <si>
    <t>КОРПОРАТИВНЫЕ ФИНАНСЫ: ФИНАНСОВЫЕ РАСЧЕТЫ</t>
  </si>
  <si>
    <t>Самылин А.И.</t>
  </si>
  <si>
    <t>978-5-16-018870-6</t>
  </si>
  <si>
    <t>38.03.01, 38.03.02, 44.03.05, 41.03.06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</si>
  <si>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обучающихся по программам высшего образования направлений подготовки 38.03.02 «Менеджмент», 38.03.01 «Экономика» (квалификация (степень) «бакалавр») Регистрационный номер рецензии 335 от 17 июня 2015 г. (ФГАУ ФИРО)</t>
  </si>
  <si>
    <t>176250.07.01</t>
  </si>
  <si>
    <t>Корпоративный рост: модели и методы: Моногр. / С.С.Кузьмин - М.:НИЦ ИНФРА-М,2023 - 184с(Науч.мысль)(О)</t>
  </si>
  <si>
    <t>КОРПОРАТИВНЫЙ РОСТ: МОДЕЛИ И МЕТОДЫ</t>
  </si>
  <si>
    <t>Кузьмин С. С.</t>
  </si>
  <si>
    <t>978-5-16-005367-7</t>
  </si>
  <si>
    <t>38.04.01, 38.04.02, 38.06.01, 38.07.02, 38.03.01, 38.03.02</t>
  </si>
  <si>
    <t>176000.06.01</t>
  </si>
  <si>
    <t>Краткосрочная и долгосрочная фин. полит. фирмы: Уч. /Н.Н.Симоненко -М.:Магистр, НИЦ ИНФРА-М, 2022 -512с.</t>
  </si>
  <si>
    <t>КРАТКОСРОЧНАЯ И ДОЛГОСРОЧНАЯ ФИНАНСОВАЯ ПОЛИТИКА ФИРМЫ</t>
  </si>
  <si>
    <t>Симоненко Н.Н., Симоненко В.Н.</t>
  </si>
  <si>
    <t>978-5-9776-0246-4</t>
  </si>
  <si>
    <t>38.04.01, 38.03.01, 38.03.02, 38.03.04</t>
  </si>
  <si>
    <t>Рекомендовано Учебнометодическим объединением вузов России по образованию в области экономики и экономической теории в качестве учебника для аспирантов, студентовмагистров и студентов высших учебных заведений, обучающихся по направлению 080100 «Эко</t>
  </si>
  <si>
    <t>413500.07.01</t>
  </si>
  <si>
    <t>Краткосрочная финансовая политика: Уч.пос. / Е.А.Приходько - М.:НИЦ ИНФРА-М,2023-332с-(ВО:Бак.)(П)</t>
  </si>
  <si>
    <t>КРАТКОСРОЧНАЯ ФИНАНСОВАЯ ПОЛИТИКА</t>
  </si>
  <si>
    <t>Приходько Е.А.</t>
  </si>
  <si>
    <t>978-5-16-005058-4</t>
  </si>
  <si>
    <t>38.04.01, 38.04.08, 38.03.01, 41.03.06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</si>
  <si>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38.03.01 «Экономика» и специальности «Финансы и кредит»</t>
  </si>
  <si>
    <t>Новосибирский государственный технический университет</t>
  </si>
  <si>
    <t>163550.05.01</t>
  </si>
  <si>
    <t>Культура управления соц.-полит. и эконом. процессами: Моногр. /В.В.Трошихин -М.:ИЦ РИОР, ИНФРА-М,2024-248с.(о)</t>
  </si>
  <si>
    <t>КУЛЬТУРА УПРАВЛЕНИЯ СОЦИАЛЬНО-ПОЛИТИЧЕСКИМИ И ЭКОНОМИЧЕСКИМИ ПРОЦЕССАМИ</t>
  </si>
  <si>
    <t>Трошихин В. В.</t>
  </si>
  <si>
    <t>978-5-369-00987-1</t>
  </si>
  <si>
    <t>38.04.09, 38.04.07, 38.04.01, 38.04.08, 38.04.06, 38.04.02, 38.04.03, 38.04.04, 38.04.05, 38.05.01, 38.05.02, 38.03.01, 38.03.05, 38.03.06, 38.03.07, 38.03.02, 38.03.04, 38.03.03</t>
  </si>
  <si>
    <t>Белгородский университет кооперации, экономики и права</t>
  </si>
  <si>
    <t>789566.01.01</t>
  </si>
  <si>
    <t>Культура, конкуренция, прибыль: Моногр. / А.В.Ковров-М.:Магистр, НИЦ ИНФРА-М,2023.-296 с.(П)</t>
  </si>
  <si>
    <t>КУЛЬТУРА, КОНКУРЕНЦИЯ, ПРИБЫЛЬ</t>
  </si>
  <si>
    <t>Ковров А.В.</t>
  </si>
  <si>
    <t>978-5-9776-0548-9</t>
  </si>
  <si>
    <t>38.04.02, 38.04.03, 38.06.01</t>
  </si>
  <si>
    <t>371400.05.01</t>
  </si>
  <si>
    <t>Логистика  для бакалавров: Уч. / С.В.Карпова - М.:Вуз. уч.,НИЦ ИНФРА-М,2023 - 323с.(п)</t>
  </si>
  <si>
    <t>ЛОГИСТИКА  ДЛЯ БАКАЛАВРОВ</t>
  </si>
  <si>
    <t>КарповаС.В.</t>
  </si>
  <si>
    <t>978-5-9558-0442-2</t>
  </si>
  <si>
    <t>38.02.04, 38.02.01, 38.02.03, 38.03.01, 38.03.06, 38.03.07, 38.03.02, 44.03.01, 44.03.05</t>
  </si>
  <si>
    <t>750869.04.01</t>
  </si>
  <si>
    <t>Логистика в системе совокупного знания: Моногр. / И.Д.Афанасенко - М.:НИЦ ИНФРА-М,2024 - 169 с.(О)</t>
  </si>
  <si>
    <t>ЛОГИСТИКА В СИСТЕМЕ СОВОКУПНОГО ЗНАНИЯ</t>
  </si>
  <si>
    <t>Афанасенко И.Д., Борисова В.В.</t>
  </si>
  <si>
    <t>978-5-16-017020-6</t>
  </si>
  <si>
    <t>38.04.01, 38.06.01, 38.03.01</t>
  </si>
  <si>
    <t>Санкт-Петербургский государственный экономический университет</t>
  </si>
  <si>
    <t>799193.01.01</t>
  </si>
  <si>
    <t>Логистика новой городской мобильности: Моногр. / Под ред. Шульженко Т.Г.-М.:НИЦ ИНФРА-М,2023.-546 с.(п)</t>
  </si>
  <si>
    <t>ЛОГИСТИКА НОВОЙ ГОРОДСКОЙ МОБИЛЬНОСТИ: ЦЕННОСТНО ОРИЕНТИРОВАННЫЙ ПОДХОД</t>
  </si>
  <si>
    <t>Шульженко Т.Г., Жук А.Е., Иванова Д.П. и др.</t>
  </si>
  <si>
    <t>978-5-16-018306-0</t>
  </si>
  <si>
    <t>38.04.02, 38.04.04, 23.04.02, 23.04.01, 07.04.04, 07.06.01, 23.06.01, 38.06.01, 07.07.01, 07.09.04</t>
  </si>
  <si>
    <t>174550.09.01</t>
  </si>
  <si>
    <t>Логистика производства: Уч.пос. / В.И.Степанов-М.:НИЦ ИНФРА-М,2024.-200 с..-(ВО: Бакалавриат)(П)</t>
  </si>
  <si>
    <t>ЛОГИСТИКА ПРОИЗВОДСТВА</t>
  </si>
  <si>
    <t>Степанов В.И.</t>
  </si>
  <si>
    <t>978-5-16-004973-1</t>
  </si>
  <si>
    <t>38.02.04, 38.03.01</t>
  </si>
  <si>
    <t>Рекомендовано Учебно-методическим объединением вузов России по образованию в области экономики и экономической теории в качестве учебника для студентов высших учебных заведений, обучающихся по направлению "Экономика"</t>
  </si>
  <si>
    <t>145500.13.01</t>
  </si>
  <si>
    <t>Логистика складирования: Уч. / В.В.Дыбская - М.:НИЦ ИНФРА-М,2023 - 559 с.(ВО: Бакалавриат)(П)</t>
  </si>
  <si>
    <t>ЛОГИСТИКА СКЛАДИРОВАНИЯ</t>
  </si>
  <si>
    <t>Дыбская В.В.</t>
  </si>
  <si>
    <t>978-5-16-003716-5</t>
  </si>
  <si>
    <t>38.02.04, 38.04.02, 38.04.04, 29.04.02, 23.03.01, 38.03.01, 38.03.02, 38.03.04, 42.03.03, 41.03.06</t>
  </si>
  <si>
    <t>Допущено УМО по образованию в области логистики в качестве учебника для студентов высших учебных заведений, обучающихся по специальности «Логистика и управление цепями поставок»</t>
  </si>
  <si>
    <t>642427.04.01</t>
  </si>
  <si>
    <t>Логистика: модели и методы: Уч.пос. / П.В.Попов - М.:НИЦ ИНФРА-М,2023 - 272 с.(ВО: Магистратура)(П)</t>
  </si>
  <si>
    <t>ЛОГИСТИКА: МОДЕЛИ И МЕТОДЫ</t>
  </si>
  <si>
    <t>Попов П.В., Мирецкий И.Ю., Ивуть Р.Б. и др.</t>
  </si>
  <si>
    <t>978-5-16-012704-0</t>
  </si>
  <si>
    <t>Рекомендовано к изданию учебно-методическим объединением Республики Беларусь по образованию в области экономики и организации производства. Рекомендовано в качестве учебного пособия для студентов высших учебных заведений, обучающихся по направлениям подготовки 38.04.01 «Экономика», 38.04.02 «Менеджмент» (квалификация (степень) «магистр»)</t>
  </si>
  <si>
    <t>Волгоградский государственный университет, Волжский ф-л</t>
  </si>
  <si>
    <t>651651.05.01</t>
  </si>
  <si>
    <t>Логистика: практикум  для бакалавров: Уч.пос. / С.В.Карпова.-М.:Вуз. уч., НИЦ ИНФРА-М,2023.-139с.(О)</t>
  </si>
  <si>
    <t>ЛОГИСТИКА: ПРАКТИКУМ  ДЛЯ БАКАЛАВРОВ</t>
  </si>
  <si>
    <t>Карпова С.В., Арский А.А., Борщ В.В. и др.</t>
  </si>
  <si>
    <t>978-5-9558-0545-0</t>
  </si>
  <si>
    <t>38.02.04, 38.02.06, 38.03.01, 38.03.02</t>
  </si>
  <si>
    <t>084500.10.01</t>
  </si>
  <si>
    <t>Логистика: Уч. / В.А.Галанов - 2 изд. - М.:Форум, НИЦ ИНФРА-М,2023.-272 с..-(ПО)</t>
  </si>
  <si>
    <t>ЛОГИСТИКА, ИЗД.2</t>
  </si>
  <si>
    <t>Галанов В. А.</t>
  </si>
  <si>
    <t>978-5-91134-906-6</t>
  </si>
  <si>
    <t>38.02.04, 38.02.03</t>
  </si>
  <si>
    <t>Допущено Мин. обр. и науки РФ в качестве учебника для студентов учреждений среднего профессионального образования</t>
  </si>
  <si>
    <t>632118.02.01</t>
  </si>
  <si>
    <t>Логистика: Уч. / Под ред. Альбекова А.У.-М.:ИЦ РИОР, НИЦ ИНФРА-М,2017.-404 с..-(ВО)(П)</t>
  </si>
  <si>
    <t>ЛОГИСТИКА</t>
  </si>
  <si>
    <t>Альбеков А.У., Пархоменко Т.В., Лопаткин Г.А. и др.</t>
  </si>
  <si>
    <t>978-5-369-01578-0</t>
  </si>
  <si>
    <t>38.02.04, 38.03.01, 38.03.06</t>
  </si>
  <si>
    <t>288300.05.01</t>
  </si>
  <si>
    <t>Логистика: Уч. пос. / О.А. Александров - М.: НИЦ ИНФРА-М, 2022 - 217 с. (ВО: Бакалавриат) (п)</t>
  </si>
  <si>
    <t>Александров О. А.</t>
  </si>
  <si>
    <t>978-5-16-010001-2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</si>
  <si>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высшего профессионального образования, обучающихся по направлению подготовки 38.03.02  (080200.62)  «Менеджмент" (кв</t>
  </si>
  <si>
    <t>Московский региональный социально-экономический институт</t>
  </si>
  <si>
    <t>275100.05.01</t>
  </si>
  <si>
    <t>Логистика: Уч. пос./ А.Л. Носов - М.:Магистр:НИЦ ИНФРА-М, 2023 - 184 с. (Бакалавриат). (О)</t>
  </si>
  <si>
    <t>Носов А. Л.</t>
  </si>
  <si>
    <t>978-5-9776-0315-7</t>
  </si>
  <si>
    <t>38.02.04, 38.03.01, 38.03.02, 41.03.06</t>
  </si>
  <si>
    <t>004166.23.01</t>
  </si>
  <si>
    <t>Логистика: Уч./Под ред. Б.А.Аникина- 4-е изд.-М.:НИЦ ИНФРА-М,2023.-320 с.-(ВО: Бакалавриат)(п)</t>
  </si>
  <si>
    <t>ЛОГИСТИКА, ИЗД.4</t>
  </si>
  <si>
    <t>Аникин Б. А.</t>
  </si>
  <si>
    <t>978-5-16-009814-2</t>
  </si>
  <si>
    <t>38.02.04, 08.02.08, 38.04.02, 38.03.02, 41.03.06</t>
  </si>
  <si>
    <t>Рекомендовано Министерством образования Российской Федерации в качестве учебника для студентов высших учебных заведений, обучающихся по направлению и специальности «Менеджмент»</t>
  </si>
  <si>
    <t>0415</t>
  </si>
  <si>
    <t>062900.17.01</t>
  </si>
  <si>
    <t>Логистика: Уч.пос. / А.А.Канке - 2 изд. - М.:ИД Форум, НИЦ ИНФРА-М,2023 - 384 с.-(СПО)(П)</t>
  </si>
  <si>
    <t>Канке А. А., Кошевая И. П.</t>
  </si>
  <si>
    <t>978-5-8199-0930-0</t>
  </si>
  <si>
    <t>38.02.04, 38.02.05, 38.02.01, 38.02.03, 38.03.01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</si>
  <si>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«Менеджмент (по отраслям)», «Маркетинг (по отраслям)», «Коммерция (по отраслям)»</t>
  </si>
  <si>
    <t>0207</t>
  </si>
  <si>
    <t>048440.09.01</t>
  </si>
  <si>
    <t>Логистика: Уч.пос. / М.Ю.Иванов - 3 изд. - М.:ИЦ РИОР, ИНФРА-М Изд.Дом,2020 - 90 с.(О)</t>
  </si>
  <si>
    <t>ЛОГИСТИКА, ИЗД.3</t>
  </si>
  <si>
    <t>Иванов М. Ю., Иванова М. Б.</t>
  </si>
  <si>
    <t>978-5-369-00623-8</t>
  </si>
  <si>
    <t>38.02.04, 38.04.06, 23.03.01, 38.03.01, 38.03.06, 42.03.03</t>
  </si>
  <si>
    <t>Государственный морской университет им. адмирала Ф.Ф. Ушакова</t>
  </si>
  <si>
    <t>0310</t>
  </si>
  <si>
    <t>707355.03.01</t>
  </si>
  <si>
    <t>Логистика: Уч.пос. / О.А.Александров - М.:НИЦ ИНФРА-М,2023 - 217 с.-(СПО)(п)</t>
  </si>
  <si>
    <t>Александров О.А.</t>
  </si>
  <si>
    <t>978-5-16-015154-0</t>
  </si>
  <si>
    <t>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</si>
  <si>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</si>
  <si>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362100.07.01</t>
  </si>
  <si>
    <t>Логистика: Уч.пос. / Ю.Н.Егоров - М.:НИЦ ИНФРА-М,2024 - 256 с.(ВО)(п)</t>
  </si>
  <si>
    <t>Егоров Ю.Н.</t>
  </si>
  <si>
    <t>978-5-16-018905-5</t>
  </si>
  <si>
    <t>38.02.04, 38.03.01, 38.03.02</t>
  </si>
  <si>
    <t>Рекомендовано АНО ВПО «Московский региональный социально-экономический институт» в качестве учебного пособия для студентов высших учебных заведений, обучающихся по направлениям подготовки 38.03.01 «Экономика» и 38.03.02 «Менеджмент»</t>
  </si>
  <si>
    <t>077360.03.01</t>
  </si>
  <si>
    <t>Логистика: Шпаргалка - М.:ИЦ РИОР, НИЦ ИНФРА-М,-80 с.-(Шпаргалка [отрывная])(О)</t>
  </si>
  <si>
    <t>Обложка. Внакидку</t>
  </si>
  <si>
    <t>978-5-369-00670-2</t>
  </si>
  <si>
    <t>38.02.04, 29.04.02, 23.03.01, 38.03.01, 42.03.03</t>
  </si>
  <si>
    <t>145350.07.01</t>
  </si>
  <si>
    <t>Логистическая система упр.фин.корпорат.структур: Моногр. / С.Е.Барыкин -М.:НИЦ ИНФРА-М,2021-172с.(О)</t>
  </si>
  <si>
    <t>ЛОГИСТИЧЕСКАЯ СИСТЕМА УПРАВЛЕНИЯ ФИНАНСАМИ КОРПОРАТИВНЫХ СТРУКТУР</t>
  </si>
  <si>
    <t>Барыкин С.Е.</t>
  </si>
  <si>
    <t>978-5-16-009797-8</t>
  </si>
  <si>
    <t>38.04.01, 38.04.08, 38.04.06, 38.04.02, 38.03.01, 38.03.06, 38.03.02, 44.03.05</t>
  </si>
  <si>
    <t>688040.03.01</t>
  </si>
  <si>
    <t>Логистический менеджмент: Уч. / Н.Б.Куршакова - М.:НИЦ ИНФРА-М,2024 - 399 с.(ВО: Бакалавр.)(П)</t>
  </si>
  <si>
    <t>ЛОГИСТИЧЕСКИЙ МЕНЕДЖМЕНТ</t>
  </si>
  <si>
    <t>Куршакова Н.Б., Левкин Г.Г.</t>
  </si>
  <si>
    <t>978-5-16-018817-1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</si>
  <si>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направлениям подготовки 23.03.01 «Технология транспортных процессов», 27.03.02 «Управление качеством», 38.03.02 «Менеджмент» (квалификация (степень) «бакалавр») (протокол № 11 от 26.10.2020 )</t>
  </si>
  <si>
    <t>Омский государственный университет путей сообщения</t>
  </si>
  <si>
    <t>670838.02.01</t>
  </si>
  <si>
    <t>Маркетинговое упр. взаимодействием субъектов...: Моногр. / Т.И.Шерстобитова-М.: ИНФРА-М,2023-282с(О)</t>
  </si>
  <si>
    <t>МАРКЕТИНГОВОЕ УПРАВЛЕНИЕ ВЗАИМОДЕЙСТВИЕМ СУБЪЕКТОВ ИННОВАЦИОННОЙ СФЕРЫ</t>
  </si>
  <si>
    <t>Шерстобитова Т.И., Семеркова Л.Н.</t>
  </si>
  <si>
    <t>978-5-16-014237-1</t>
  </si>
  <si>
    <t>27.03.05, 38.03.01</t>
  </si>
  <si>
    <t>653221.01.01</t>
  </si>
  <si>
    <t>Математические модели управ.проектами: Уч. / И.Н.Царьков-М.:НИЦ ИНФРА-М,2018.-514с(ВО: Магистр.)(П)</t>
  </si>
  <si>
    <t>МАТЕМАТИЧЕСКИЕ МОДЕЛИ УПРАВЛЕНИЯ ПРОЕКТАМИ</t>
  </si>
  <si>
    <t>Царьков И.Н.</t>
  </si>
  <si>
    <t>978-5-16-012831-3</t>
  </si>
  <si>
    <t>01.03.04, 09.03.04, 01.04.04, 38.04.02, 09.04.04, 38.03.02</t>
  </si>
  <si>
    <t>Рекомендован кафедрой управления проектами Национального исследовательского университета «Высшая школа экономики» в качестве основной литературы для студентов магистратуры, обучающихся по специальности «Управление проектами»</t>
  </si>
  <si>
    <t>667236.03.01</t>
  </si>
  <si>
    <t>Математическое моделиров.и колич. методы...: Уч.пос. / М.Ю.Михалева-М.:Вуз.уч.,НИЦ ИНФРА-М,2023-296с</t>
  </si>
  <si>
    <t>МАТЕМАТИЧЕСКОЕ МОДЕЛИРОВАНИЕ И КОЛИЧЕСТВЕННЫЕ МЕТОДЫ ИССЛЕДОВАНИЙ В МЕНЕДЖМЕНТЕ</t>
  </si>
  <si>
    <t>Михалева М.Ю., Орлова И.В.</t>
  </si>
  <si>
    <t>978-5-9558-0607-5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</si>
  <si>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направлению подготовки 38.04.02 «Менеджмент» (квалификация (степень) «магистр»)</t>
  </si>
  <si>
    <t>127850.08.01</t>
  </si>
  <si>
    <t>Международный финансовый менеджмент: Уч.пос. / С.В.Котелкин - М.:Магистр, НИЦ ИНФРА-М,2022-605 с.(П)</t>
  </si>
  <si>
    <t>МЕЖДУНАРОДНЫЙ ФИНАНСОВЫЙ МЕНЕДЖМЕНТ</t>
  </si>
  <si>
    <t>Котелкин С. В.</t>
  </si>
  <si>
    <t>978-5-9776-0137-5</t>
  </si>
  <si>
    <t>38.04.09, 38.04.01, 38.04.08, 38.04.02, 38.03.01, 38.03.02, 38.03.03, 44.03.01, 44.03.05, 41.03.06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</si>
  <si>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"Мировая экономика" и "Финансы и кредит"</t>
  </si>
  <si>
    <t>744104.03.01</t>
  </si>
  <si>
    <t>Менеджеры университета: теория: Моногр. / С.Д.Резник - 2 изд.-М.:НИЦ ИНФРА-М,2023.-306 с..-(Науч.мысль)(О)</t>
  </si>
  <si>
    <t>МЕНЕДЖЕРЫ УНИВЕРСИТЕТА: ТЕОРИЯ, ПРАКТИКА И ЭФФЕКТИВНОСТЬ ОРГАНИЗАЦИИ ЛИЧНОЙ РАБОТЫ, ИЗД.2</t>
  </si>
  <si>
    <t>Резник С.Д., Чемезов И.С., Резник С.Д.</t>
  </si>
  <si>
    <t>978-5-16-016498-4</t>
  </si>
  <si>
    <t>38.04.03, 38.06.01</t>
  </si>
  <si>
    <t>658843.04.01</t>
  </si>
  <si>
    <t>Менеджмент  в туристских организациях: Уч.пос. / П.В.Большаник - М.:НИЦ ИНФРА-М,2023 - 193 с.-(ВО)(П)</t>
  </si>
  <si>
    <t>МЕНЕДЖМЕНТ  В ТУРИСТСКИХ ОРГАНИЗАЦИЯХ</t>
  </si>
  <si>
    <t>Большаник П.В.</t>
  </si>
  <si>
    <t>978-5-16-013170-2</t>
  </si>
  <si>
    <t>43.03.02, 38.03.02</t>
  </si>
  <si>
    <t>Рекомендовано в качестве учебного пособия для студентов высших учебных заведений, обучающихся по направлению подготовки 43.03.02 «Туризм»  (квалификация (степень) «бакалавр»)</t>
  </si>
  <si>
    <t>151100.09.01</t>
  </si>
  <si>
    <t>Менеджмент - твоя работа. Действуй на..!: Уч. / Л.Д.Гительман-М.:ИНФРА-М Издательский Дом,2023.-544 с.(П)</t>
  </si>
  <si>
    <t>МЕНЕДЖМЕНТ - ТВОЯ РАБОТА. ДЕЙСТВУЙ НА ОПЕРЕЖЕНИЕ!</t>
  </si>
  <si>
    <t>Гительман Л. Д.</t>
  </si>
  <si>
    <t>978-5-16-004970-0</t>
  </si>
  <si>
    <t>38.04.01, 38.04.02, 38.04.04, 38.03.02, 38.03.04</t>
  </si>
  <si>
    <t>Допущено Советом УМО по образованию в области менеджмента в качестве учебника по направлению 080200 ""Менеджмент"</t>
  </si>
  <si>
    <t>124600.10.01</t>
  </si>
  <si>
    <t>Менеджмент в домашнем хоз.: Уч. пос./Под общ. ред.С.Д. Резника.-3 изд.-ИНФРА-М,2024.-461с.(ВО) (п)</t>
  </si>
  <si>
    <t>МЕНЕДЖМЕНТ В ДОМАШНЕМ ХОЗЯЙСТВЕ, ИЗД.3</t>
  </si>
  <si>
    <t>Резник С. Д., Бобров В. А., Егорова Н. Ю.</t>
  </si>
  <si>
    <t>978-5-16-003715-8</t>
  </si>
  <si>
    <t>43.02.08, 35.02.12, 42.03.01, 43.03.01, 43.04.01, 38.05.01, 38.05.02, 38.03.01, 38.03.05, 38.03.06, 38.03.07, 38.03.02, 38.03.04, 38.03.03</t>
  </si>
  <si>
    <t>Допущено Советом Учебно-методического объединения вузов России по образованию в области менеджмента в качестве учебного пособия для студентов экономических, управленческих и других специальностей вузов</t>
  </si>
  <si>
    <t>634332.06.01</t>
  </si>
  <si>
    <t>Менеджмент в образовании: Уч. / Г.Г.Корзникова - 2 изд. - М.:НИЦ ИНФРА-М,2023 - 352 с.-(ВО)(П)</t>
  </si>
  <si>
    <t>МЕНЕДЖМЕНТ В ОБРАЗОВАНИИ, ИЗД.2</t>
  </si>
  <si>
    <t>Корзникова Г.Г.</t>
  </si>
  <si>
    <t>978-5-16-012109-3</t>
  </si>
  <si>
    <t>44.04.01, 44.03.01, 44.03.05</t>
  </si>
  <si>
    <t>Рекомендовано Ученым советом федерального государственного бюджетного образовательного учреждения высшего образования «Уральский государственный педагогический университет» в качестве учебного издания. Рекомендовано в качестве учебника для студентов высших учебных заведений, обучающихся по направлению подготовки 44.04.01 «Педагогическое образование» (квалификация (степень) «магистр»)</t>
  </si>
  <si>
    <t>Уральский государственный педагогический университет</t>
  </si>
  <si>
    <t>124300.07.01</t>
  </si>
  <si>
    <t>Менеджмент в рекламе: Уч. пос. / Н.В. Бацюн - М.: ИЦ РИОР:ИНФРА-М,2023 - 175 с.(ВО) (П)</t>
  </si>
  <si>
    <t>МЕНЕДЖМЕНТ В РЕКЛАМЕ</t>
  </si>
  <si>
    <t>Бацюн Н. В.</t>
  </si>
  <si>
    <t>978-5-369-00601-6</t>
  </si>
  <si>
    <t>42.03.01, 42.04.01, 38.04.02, 38.03.02</t>
  </si>
  <si>
    <t>Допущено УМО по образованию в области коммерции в качестве учебного пособия для студентов вузов, обучающихся по специальности "Реклама"</t>
  </si>
  <si>
    <t>Иркутский национальный исследовательский технический университет</t>
  </si>
  <si>
    <t>648904.07.01</t>
  </si>
  <si>
    <t>Менеджмент в сервисе и туризме: Уч.пос. / В.М.Пищулов, - 3 изд.-М.:НИЦ ИНФРА-М,2022.-284 с.(ВО(П)</t>
  </si>
  <si>
    <t>МЕНЕДЖМЕНТ В СЕРВИСЕ И ТУРИЗМЕ, ИЗД.3</t>
  </si>
  <si>
    <t>Пищулов В.М.</t>
  </si>
  <si>
    <t>978-5-16-012517-6</t>
  </si>
  <si>
    <t>15.02.07, 08.02.01, 08.02.04, 40.02.01, 38.02.07, 38.02.01, 38.02.03, 43.03.01, 43.03.02, 44.03.05, 49.03.03</t>
  </si>
  <si>
    <t>Рекомендовано ФГБОУ ВО «Российский государственный университет туризма и сервиса» в качестве учебного пособия к использованию в образовательных учреждениях ВО, реализующих образовательные программы высшего образования по направлениям подготовки 43.03.02 «Туризм», 43.03.01 «Сервис» (квалификация (степень) «бакалавр»)</t>
  </si>
  <si>
    <t>Уральский государственный экономический университет</t>
  </si>
  <si>
    <t>703218.03.01</t>
  </si>
  <si>
    <t>Менеджмент в сервисе и туризме: Уч.пос. / В.М.Пищулов, - 3 изд.-М.:НИЦ ИНФРА-М,2023.-284 с.(СПО)(п)</t>
  </si>
  <si>
    <t>978-5-16-014869-4</t>
  </si>
  <si>
    <t>43.02.10, 43.02.11, 43.02.14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</si>
  <si>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43.02.10 «Туризм»</t>
  </si>
  <si>
    <t>086260.16.01</t>
  </si>
  <si>
    <t>Менеджмент в сервисе и туризме: Уч.пос. / Н.А.Зайцева - 3 изд. - М.:НИЦ ИНФРА-М,2024 - 366 с.(О)(СПО)</t>
  </si>
  <si>
    <t>Зайцева Н. А.</t>
  </si>
  <si>
    <t>978-5-16-016114-3</t>
  </si>
  <si>
    <t>43.03.01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</si>
  <si>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</si>
  <si>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446550.05.01</t>
  </si>
  <si>
    <t>Менеджмент в социал. и эконом.сист..: Уч.пос./С.Д.Резник-2 изд.-М:ИЦ РИОР:НИЦ ИНФРА-М,2024-207с.(ВО)(п)</t>
  </si>
  <si>
    <t>МЕНЕДЖМЕНТ В СОЦИАЛЬНЫХ И ЭКОНОМИЧЕСКИХ СИСТЕМАХ НЕПРОИЗВОДСТВЕННОЙ СФЕРЫ, ИЗД.2</t>
  </si>
  <si>
    <t>Резник С.Д., Резник С.Д., Кондратьев Э.В.</t>
  </si>
  <si>
    <t>978-5-369-01262-8</t>
  </si>
  <si>
    <t>Допущено Учебно-методическим объединением вузов России по образованию в области менеджмента в качестве учебного пособия для студентов высших учебных заведений по специальности «Менеджмент организации»</t>
  </si>
  <si>
    <t>440050.03.01</t>
  </si>
  <si>
    <t>Менеджмент в социальных и эконом. сист...: Уч.пос./С.Д.Резник-2изд.-РИОР:ИНФРА-М, 2019-304с(ВО)(п+Z)</t>
  </si>
  <si>
    <t>МЕНЕДЖМЕНТ В СОЦИАЛЬНЫХ И ЭКОНОМИЧЕСКИХ СИСТЕМАХ: ТЕОРИЯ И МЕТОДОЛОГИЯ, ИЗД.2</t>
  </si>
  <si>
    <t>Резник С.Д., Кондратьев Э.В., Неретина Е.А. и др.</t>
  </si>
  <si>
    <t>Высшее образование: Бакалавриат и магистратура</t>
  </si>
  <si>
    <t>978-5-369-01207-9</t>
  </si>
  <si>
    <t>38.04.01, 38.04.02, 38.03.01, 38.03.02, 38.03.04, 38.03.03</t>
  </si>
  <si>
    <t>Допущено Учебно-методическим объединением вузов России по образованию в области менеджмента в качестве учебного пособия для студентов управленческих и экономических специальностей, бакалавриата и магистратуры</t>
  </si>
  <si>
    <t>083300.14.01</t>
  </si>
  <si>
    <t>Менеджмент в сфере культуры и искусства: Уч.пос. / Переверзев М.П. - М.:НИЦ ИНФРА-М,2023 - 192с(ВО)(П)</t>
  </si>
  <si>
    <t>МЕНЕДЖМЕНТ В СФЕРЕ КУЛЬТУРЫ И ИСКУССТВА</t>
  </si>
  <si>
    <t>Переверзев М.П., Косцов Т.В., Переверзев М.П.</t>
  </si>
  <si>
    <t>978-5-16-006927-2</t>
  </si>
  <si>
    <t>15.02.07, 08.02.01, 08.02.04, 40.02.01, 38.02.07, 38.02.01, 38.02.03, 51.04.04, 50.04.04, 44.03.05, 51.03.01, 50.03.04, 51.03.05</t>
  </si>
  <si>
    <t>Рекомендовано Учебно-методическим объединением по образованию в области инновационных междисциплинарных образовательных программ в качестве учебного пособия по направлению подготовки 50.03.01 «Искусства и гуманитарные науки» (квалификация (степень) «бакалавр»)</t>
  </si>
  <si>
    <t>420700.08.01</t>
  </si>
  <si>
    <t>Менеджмент в туризме: уч. / Под ред. Богданов Е.И.-М.:НИЦ ИНФРА-М,2024.-152 с..-(ВО: Бакалавриат)(п)</t>
  </si>
  <si>
    <t>МЕНЕДЖМЕНТ В ТУРИЗМЕ</t>
  </si>
  <si>
    <t>Киседобрев В. П., Кострюкова О. Н., Киседобрев А. В., Богданов Е. И.</t>
  </si>
  <si>
    <t>978-5-16-006294-5</t>
  </si>
  <si>
    <t>43.03.02, 43.04.02, 38.03.02, 49.03.03</t>
  </si>
  <si>
    <t>Рекомендовано Учебно-методическим объединением по образованию в области производственного менеджмента Министерства образования и науки Российской Федерации в качестве учебника для студентов высших учебных заведений, обучающихся по специальности 08050</t>
  </si>
  <si>
    <t>Санкт-Петербургский государственный институт кино и телевидения</t>
  </si>
  <si>
    <t>470100.05.01</t>
  </si>
  <si>
    <t>Менеджмент в туристской индустрии: Уч. / Л.В.Баумгартен - М.:Вуз.уч.,НИЦ ИНФРА-М,2023 - 236 с.(П)</t>
  </si>
  <si>
    <t>МЕНЕДЖМЕНТ В ТУРИСТСКОЙ ИНДУСТРИИ</t>
  </si>
  <si>
    <t>Баумгартен Л.В.</t>
  </si>
  <si>
    <t>978-5-9558-0480-4</t>
  </si>
  <si>
    <t>49.03.03</t>
  </si>
  <si>
    <t>Рекомендовано Учебно-методическим советом ВО в качестве учебника для студентов высших учебных заведений, обучающихся по направлениям подготовки 38.03.02 «Менеджмент», 43.04.02 «Туризм» (квалификация (степень) «бакалавр»)</t>
  </si>
  <si>
    <t>Московский государственный лингвистический университет</t>
  </si>
  <si>
    <t>136950.10.01</t>
  </si>
  <si>
    <t>Менеджмент гостеприимства: Уч.пос. / Е.Н.Кнышова - М.:ИД ФОРУМ, НИЦ ИНФРА-М,2023 - 512 с.-(ВО)(П)</t>
  </si>
  <si>
    <t>МЕНЕДЖМЕНТ ГОСТЕПРИИМСТВА</t>
  </si>
  <si>
    <t>Кнышова Е.Н., Белозерова Ю.М.</t>
  </si>
  <si>
    <t>978-5-8199-0441-1</t>
  </si>
  <si>
    <t>43.03.01, 43.03.02, 43.03.03, 38.04.02, 43.04.03, 38.03.02, 41.03.06, 43.02.14</t>
  </si>
  <si>
    <t>Рекомендовано Ученым советом Иститута туризма и развития рынка Гос. универ. управл. для студ. вузов, обуч. по спец. 080507 "Менеджмент оргции" специализ. "Гостин. и турист. бизнес", 100103 "Соц.-культ. сервис и туризм" и 100104 "Туризм"</t>
  </si>
  <si>
    <t>682973.03.01</t>
  </si>
  <si>
    <t>Менеджмент гостеприимства: Уч.пос. / Е.Н.Кнышова-М.:ИД ФОРУМ, НИЦ ИНФРА-М,2023.-512 с..-(СПО)(П)</t>
  </si>
  <si>
    <t>978-5-8199-0795-5</t>
  </si>
  <si>
    <t>43.02.14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</si>
  <si>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</si>
  <si>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464300.04.01</t>
  </si>
  <si>
    <t>Менеджмент качества и обеспечение безопасности в автомобильном бизнесе: монография / Л.А.Федоськина-М.:НИЦ ИНФРА-М,2018.-287 с..-(Науч.мысль)(Переп</t>
  </si>
  <si>
    <t>МЕНЕДЖМЕНТ КАЧЕСТВА И ОБЕСПЕЧЕНИЕ БЕЗОПАСНОСТИ В АВТОМОБИЛЬНОМ БИЗНЕСЕ</t>
  </si>
  <si>
    <t>Федоськина Л.А.</t>
  </si>
  <si>
    <t>978-5-16-011531-3</t>
  </si>
  <si>
    <t>08.03.01, 27.03.01, 27.03.02, 15.04.05, 27.04.02</t>
  </si>
  <si>
    <t>427550.06.01</t>
  </si>
  <si>
    <t>Менеджмент качества образоват. процессов: Уч. пос./Э.В.Минько - М.: Норма: НИЦ ИНФРА-М, 2023-400с(П)</t>
  </si>
  <si>
    <t>МЕНЕДЖМЕНТ КАЧЕСТВА ОБРАЗОВАТЕЛЬНЫХ ПРОЦЕССОВ</t>
  </si>
  <si>
    <t>Минько Э. В., Карташева Л. В., Минько А. Э., Ястребов А. П., Минько Э. В., Николаева М. А.</t>
  </si>
  <si>
    <t>978-5-91768-369-0</t>
  </si>
  <si>
    <t>40.03.01, 40.04.01</t>
  </si>
  <si>
    <t>Санкт-Петербургский государственный университет аэрокосмического приборостроения</t>
  </si>
  <si>
    <t>184050.06.01</t>
  </si>
  <si>
    <t>Менеджмент оптовых организаций: Уч.пос. / Л.А.Жигун -М.:НИЦ ИНФРА-М,2019.-107 с.(ВО: Бакалавриат)(О)</t>
  </si>
  <si>
    <t>МЕНЕДЖМЕНТ ОПТОВЫХ ОРГАНИЗАЦИЙ</t>
  </si>
  <si>
    <t>Жигун Л. А.</t>
  </si>
  <si>
    <t>978-5-16-005603-6</t>
  </si>
  <si>
    <t>38.04.07, 38.04.01, 38.04.06, 38.04.02, 38.04.05, 38.03.01, 38.03.06, 38.03.07, 38.03.02, 44.03.01</t>
  </si>
  <si>
    <t>174900.10.01</t>
  </si>
  <si>
    <t>Менеджмент организации: теория, история, практика: Уч.пос. / О.Г.Тихомирова-М.:НИЦ ИНФРА-М,2022.-256 с.(ВО)(О)</t>
  </si>
  <si>
    <t>МЕНЕДЖМЕНТ ОРГАНИЗАЦИИ: ТЕОРИЯ, ИСТОРИЯ, ПРАКТИКА</t>
  </si>
  <si>
    <t>Тихомирова О. Г., Варламов Б. А.</t>
  </si>
  <si>
    <t>978-5-16-005014-0</t>
  </si>
  <si>
    <t>15.02.07, 08.02.01, 08.02.04, 40.02.01, 38.02.06, 38.02.07, 38.02.01, 38.02.03, 38.04.02, 38.04.04, 38.03.02, 38.03.04, 44.03.05, 41.03.06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</si>
  <si>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080200 «Менеджмент» и специальности 080507 «Менеджмент организа</t>
  </si>
  <si>
    <t>Национальный исследовательский университет ИТМО</t>
  </si>
  <si>
    <t>353500.05.01</t>
  </si>
  <si>
    <t>Менеджмент персонала корпорации: Моногр. / Н.М.Кузьмина - М.:НИЦ ИНФРА-М,2023 - 245 с.(Науч.мысль)(П)</t>
  </si>
  <si>
    <t>МЕНЕДЖМЕНТ ПЕРСОНАЛА КОРПОРАЦИИ</t>
  </si>
  <si>
    <t>978-5-16-010890-2</t>
  </si>
  <si>
    <t>38.04.03, 38.03.03</t>
  </si>
  <si>
    <t>689445.02.01</t>
  </si>
  <si>
    <t>Менеджмент техники и технологии сельскохоз.машин: Уч.пос. / А.Л.Эйдис-М.:НИЦ ИНФРА-М,2023-196с(ВО)(П)</t>
  </si>
  <si>
    <t>МЕНЕДЖМЕНТ ТЕХНИКИ И ТЕХНОЛОГИИ СЕЛЬСКОХОЗЯЙСТВЕННЫХ МАШИН</t>
  </si>
  <si>
    <t>Эйдис А.Л., Парлюк Е.П., Еремеев В.И.</t>
  </si>
  <si>
    <t>978-5-16-014488-7</t>
  </si>
  <si>
    <t>35.04.06, 23.04.02, 23.05.01, 35.03.06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</si>
  <si>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23.03.02 «Наземные транспортно-технологические комплексы», 35.03.06 «Агроинженерия» (квалификация (степень) «бакалавр») (протокол № 12 от 24.06.2019)</t>
  </si>
  <si>
    <t>631497.02.01</t>
  </si>
  <si>
    <t>Менеджмент.  Кн 5.. Упр.человеческим потенциалом..: Избр.статьи / С.Д.Резник-М.:НИЦ ИНФРА-М,2020-335с.(О)</t>
  </si>
  <si>
    <t>МЕНЕДЖМЕНТ. КНИГА ПЯТАЯ. УПРАВЛЕНИЕ ЧЕЛОВЕЧЕСКИМ ПОТЕНЦИАЛОМ В СИСТЕМАХ ВЫСШЕГО ОБРАЗОВАНИЯ, ПОДГОТОВКИ И АТТЕСТАЦИИ НАУЧНЫХ КАДРОВ</t>
  </si>
  <si>
    <t>978-5-16-011923-6</t>
  </si>
  <si>
    <t>38.03.01, 38.03.03, 44.03.01, 41.03.06</t>
  </si>
  <si>
    <t>415500.05.01</t>
  </si>
  <si>
    <t>Менеджмент. Кн. 2. Управ. высшей школой и науч. деят./ С.Д.Резник-М.:НИЦ ИНФРА-М, 2019-359 с(О)</t>
  </si>
  <si>
    <t>МЕНЕДЖМЕНТ. КНИГА 2. УПРАВЛЕНИЕ ВЫСШЕЙ ШКОЛОЙ И НАУЧНОЙ ДЕЯТЕЛЬНОСТЬЮ, Т.2</t>
  </si>
  <si>
    <t>978-5-16-006234-1</t>
  </si>
  <si>
    <t>Научное издание</t>
  </si>
  <si>
    <t>38.04.02, 38.03.02, 44.03.05</t>
  </si>
  <si>
    <t>415600.05.01</t>
  </si>
  <si>
    <t>Менеджмент. Кн. 3. Управление семьей, домашним хозяйством, персональный менеджмент: монография / С.Д.Резник-М.:НИЦ ИНФРА-М,2018.-263с. (Научн.мысль)(о</t>
  </si>
  <si>
    <t>МЕНЕДЖМЕНТ. КНИГА 3. УПРАВЛЕНИЕ СЕМЬЕЙ, ДОМАШНИМ ХОЗЯЙСТВОМ, ПЕРСОНАЛЬНЫЙ МЕНЕДЖМЕНТ</t>
  </si>
  <si>
    <t>978-5-16-006235-8</t>
  </si>
  <si>
    <t>43.02.08, 38.04.02, 38.04.03, 38.03.02, 38.03.03, 44.03.05</t>
  </si>
  <si>
    <t>742688.01.01</t>
  </si>
  <si>
    <t>Менеджмент. Кн. 7: Менеджмент в вузе: монография / С.Д.Резник-М.:НИЦ ИНФРА-М,2021.-323 с..-(Науч.мысль)(о)</t>
  </si>
  <si>
    <t>МЕНЕДЖМЕНТ. КН. 7: МЕНЕДЖМЕНТ В ВУЗЕ, Т.7</t>
  </si>
  <si>
    <t>978-5-16-013924-1</t>
  </si>
  <si>
    <t>38.04.02, 38.04.03, 38.04.04, 38.06.01</t>
  </si>
  <si>
    <t>445450.02.98</t>
  </si>
  <si>
    <t>Менеджмент.Программы учеб.дисцип.:Уч.пос./ Под ред.В.И.Звонникова-М:НИЦ ИНФРА-М,2016-496с(ВО:Бакал.)</t>
  </si>
  <si>
    <t>МЕНЕДЖМЕНТ. ПРОГРАММЫ УЧЕБНЫХ ДИСЦИПЛИН</t>
  </si>
  <si>
    <t>ЗвонниковВ.И.</t>
  </si>
  <si>
    <t>978-5-16-009869-2</t>
  </si>
  <si>
    <t>15.02.07, 08.02.01, 08.02.04, 40.02.01, 38.02.07, 38.02.01, 38.02.03, 38.04.02, 38.03.02, 44.03.05, 41.03.06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</si>
  <si>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</t>
  </si>
  <si>
    <t>188900.05.01</t>
  </si>
  <si>
    <t>Менеджмент: бакалаврская работа: Уч.пос. / С.Д.Резник - 2 изд. - М.:НИЦ ИНФРА-М,2019-260 с.(ВО)(П)</t>
  </si>
  <si>
    <t>МЕНЕДЖМЕНТ: БАКАЛАВРСКАЯ РАБОТА, ИЗД.2</t>
  </si>
  <si>
    <t>978-5-16-011845-1</t>
  </si>
  <si>
    <t>38.04.02, 38.03.01, 38.03.02, 44.03.01, 41.03.06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</si>
  <si>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</t>
  </si>
  <si>
    <t>188900.06.01</t>
  </si>
  <si>
    <t>Менеджмент: вып. квалификац. раб. бакалавра: Уч.пос. / С.Д.Резник - 3 изд.-М.:НИЦ ИНФРА-М,2022.-251 с(П)</t>
  </si>
  <si>
    <t>МЕНЕДЖМЕНТ: ВЫПУСКНАЯ КВАЛИФИКАЦИОННАЯ РАБОТА БАКАЛАВРА, ИЗД.3</t>
  </si>
  <si>
    <t>Резник С.Д., Баулин А.В., Джевицкая Е.С. и др.</t>
  </si>
  <si>
    <t>978-5-16-017144-9</t>
  </si>
  <si>
    <t>Рекомендовано Советом Учебно-методического объединения вузов России по образованию в области менеджмента в качестве учебного пособия для студентов высших учебных заведений, обучающихся по направлениям подготовки 38.03.02 «Менеджмент» и 38.03.03 «Управление персоналом»</t>
  </si>
  <si>
    <t>159750.12.01</t>
  </si>
  <si>
    <t>Менеджмент: выпуск. квалификац. раб. магистр.: Уч.пос. / С.Д.Резник - 4 изд.-М.:НИЦ ИНФРА-М,2023.-277 с(П)</t>
  </si>
  <si>
    <t>МЕНЕДЖМЕНТ: ВЫПУСКНАЯ КВАЛИФИКАЦИОННАЯ РАБОТА МАГИСТРАНТА, ИЗД.4</t>
  </si>
  <si>
    <t>Резник С.Д., Двоеглазов В.В., Джевицкая Е.С. и др.</t>
  </si>
  <si>
    <t>978-5-16-017304-7</t>
  </si>
  <si>
    <t>38.04.02, 38.04.04, 38.03.04, 44.03.05</t>
  </si>
  <si>
    <t>Рекомендовано Учебно-методическим объединением вузов России по образованию в области менеджмента в качестве учебного пособия для студентов высших учебных заведений, обучающихся по направлению подготовки 38.04.02 «Менеджмент»</t>
  </si>
  <si>
    <t>674948.03.01</t>
  </si>
  <si>
    <t>Менеджмент: Кн. 6: Управ. чел. потенциалом...: Моногр. / С.Д.Резник-М.:НИЦ ИНФРА-М,2023.-357 с.(О)</t>
  </si>
  <si>
    <t>МЕНЕДЖМЕНТ: КНИГА ШЕСТАЯ: УПРАВЛЕНИЕ ЧЕЛОВЕЧЕСКИМ ПОТЕНЦИАЛОМ В СОЦИАЛЬНО-ЭКОНОМИЧЕСКИХ СИСТЕМАХ, Т.6</t>
  </si>
  <si>
    <t>978-5-16-013570-0</t>
  </si>
  <si>
    <t>38.03.02, 38.03.03, 41.03.06</t>
  </si>
  <si>
    <t>415400.05.01</t>
  </si>
  <si>
    <t>Менеджмент: Кн.1: Общие пробл.менеджмента.: Избр.статьи / С.Д.Резник-М.:НИЦ ИНФРА-М,2018-277(Науч.мысль)(О)</t>
  </si>
  <si>
    <t>МЕНЕДЖМЕНТ. КНИГА 1. ОБЩИЕ ПРОБЛЕМЫ МЕНЕДЖМЕНТА, УПРАВЛЕНИЕ ЧЕЛОВЕЧЕСКИМ ПОТЕНЦИАЛОМ В СТРОИТЕЛЬСТВЕ</t>
  </si>
  <si>
    <t>978-5-16-006232-7</t>
  </si>
  <si>
    <t>08.03.01, 38.04.02, 08.04.01, 38.03.02, 44.03.05</t>
  </si>
  <si>
    <t>266200.04.01</t>
  </si>
  <si>
    <t>Менеджмент: Кн.4: Упр. человеч. потенц. в соц.-эк..: Моногр. / С.Д.Резник - М.: ИНФРА-М,2022 - 319 с (о)</t>
  </si>
  <si>
    <t>МЕНЕДЖМЕНТ</t>
  </si>
  <si>
    <t>978-5-16-009584-4</t>
  </si>
  <si>
    <t>38.04.02, 38.03.02, 38.03.03, 41.03.06</t>
  </si>
  <si>
    <t>159750.10.01</t>
  </si>
  <si>
    <t>Менеджмент: магистерская диссертация: Уч.пос. / С.Д.Резник - 3 изд. - М.:НИЦ ИНФРА-М,2022 - 282с(ВО)</t>
  </si>
  <si>
    <t>МЕНЕДЖМЕНТ: МАГИСТЕРСКАЯ ДИССЕРТАЦИЯ, ИЗД.3</t>
  </si>
  <si>
    <t>978-5-16-013828-2</t>
  </si>
  <si>
    <t>Рекомендовано Учебно-методическим объединением вузов России по образованию в области менеджмента в качестве учебного пособия для студентов высших учебных заведений, обучающихся по направлению подготовки 38.04.02 «Менеджмент</t>
  </si>
  <si>
    <t>159750.04.01</t>
  </si>
  <si>
    <t>Менеджмент: магистерская диссертация:Уч.пос. / Под ред. Резник С.Д., - 2-е изд., стереотип.-М.:ИНФРА-М Издательский Дом,2018.-240 с..-(Высшее</t>
  </si>
  <si>
    <t>МЕНЕДЖМЕНТ: МАГИСТЕРСКАЯ ДИССЕРТАЦИЯ, ИЗД.2</t>
  </si>
  <si>
    <t>978-5-16-004945-8</t>
  </si>
  <si>
    <t>Рекомендовано Учебн-методиским объединением по образованию в области менеджмента для студентво высших учебных заведений, обучающихся по направлени. "Менеджмент"</t>
  </si>
  <si>
    <t>708853.02.01</t>
  </si>
  <si>
    <t>Менеджмент: методы управления: Уч.пос. / С.Н.Рыжиков-М.:НИЦ ИНФРА-М,2023.-202 с.(ВО: Бакалавр/) (П)</t>
  </si>
  <si>
    <t>МЕНЕДЖМЕНТ: МЕТОДЫ УПРАВЛЕНИЯ</t>
  </si>
  <si>
    <t>Рыжиков С.Н.</t>
  </si>
  <si>
    <t>978-5-16-015539-5</t>
  </si>
  <si>
    <t>38.03.10, 38.05.01, 38.05.02, 38.03.01, 38.03.05, 38.03.06, 38.03.07, 38.03.02, 38.03.04, 38.03.03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</si>
  <si>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укрупненной группе направлений подготовки 38.00.00 «Экономика и управление» (протокол № 8 от 22.06.2020)</t>
  </si>
  <si>
    <t>Лебедянский торгово-экономический техникум</t>
  </si>
  <si>
    <t>128135.12.01</t>
  </si>
  <si>
    <t>Менеджмент: основные термины и понятия: Сл. / Г.В.Кисляков - 2 изд.-М.:НИЦ ИНФРА-М,2024.-176 с.(О)</t>
  </si>
  <si>
    <t>МЕНЕДЖМЕНТ: ОСНОВНЫЕ ТЕРМИНЫ И ПОНЯТИЯ, ИЗД.2</t>
  </si>
  <si>
    <t>Кисляков Г.В., Кислякова Н.А.</t>
  </si>
  <si>
    <t>Библиотека малых словарей "ИНФРА-М"</t>
  </si>
  <si>
    <t>978-5-16-009748-0</t>
  </si>
  <si>
    <t>Словарь</t>
  </si>
  <si>
    <t>38.03.10, 38.02.04, 38.02.05, 38.02.06, 38.02.07, 38.02.01, 38.02.02, 38.02.03, 38.05.01, 38.05.02, 38.03.01, 38.03.05, 38.03.06, 38.03.07, 38.03.02, 38.03.04, 38.03.03</t>
  </si>
  <si>
    <t>680324.03.01</t>
  </si>
  <si>
    <t>Менеджмент: практическая подготовка магистранта: Уч.пос. / С.Д.Резник-М.:НИЦ ИНФРА-М,2023-148с(ВО(П)</t>
  </si>
  <si>
    <t>МЕНЕДЖМЕНТ: ПРАКТИЧЕСКАЯ ПОДГОТОВКА МАГИСТРАНТА</t>
  </si>
  <si>
    <t>Резник С.Д., Двоеглазов В.В., Вдовина О.А. и др.</t>
  </si>
  <si>
    <t>978-5-16-014247-0</t>
  </si>
  <si>
    <t>773018.01.01</t>
  </si>
  <si>
    <t>Менеджмент: теория и практика: Уч.пос. / В.М.Федоров-М.:НИЦ ИНФРА-М,2023.-267 с.(СПО)(П)</t>
  </si>
  <si>
    <t>МЕНЕДЖМЕНТ: ТЕОРИЯ И ПРАКТИКА</t>
  </si>
  <si>
    <t>Федоров В.М., Саньков М.А.</t>
  </si>
  <si>
    <t>978-5-16-017501-0</t>
  </si>
  <si>
    <t>38.02.06, 38.02.07, 38.02.01</t>
  </si>
  <si>
    <t>Омский государственный технический университет</t>
  </si>
  <si>
    <t>240500.04.01</t>
  </si>
  <si>
    <t>Менеджмент: технологии профес. продвиж. женщин..: Уч. пос. / С.Д.Резник - 2 изд.-ИНФРА-М, 2020-272с.(ВО) (п)</t>
  </si>
  <si>
    <t>МЕНЕДЖМЕНТ: ТЕХНОЛОГИИ ПРОФЕССИОНАЛЬНОГО ПРОДВИЖЕНИЯ ЖЕНЩИН В МЕНЕДЖМЕНТЕ И БИЗНЕСЕ, ИЗД.2</t>
  </si>
  <si>
    <t>Резник С. Д., Макарова С. Н.</t>
  </si>
  <si>
    <t>978-5-16-009240-9</t>
  </si>
  <si>
    <t>Рекомендовано Учебно-методическим объединением по образованию в области менеджмента в качестве учебного пособия для студентов высших учебных заведений, обучающихся по направлениям 080200 «Менеджмент», 080400 «Управление персоналом»</t>
  </si>
  <si>
    <t>638370.07.01</t>
  </si>
  <si>
    <t>Менеджмент: традиц.и совр. модели: Справ.пос. / В.В.Филатов -М.:НИЦ ИНФРА-М,2024-474(Спр.ИНФРА-М)(П)</t>
  </si>
  <si>
    <t>МЕНЕДЖМЕНТ: ТРАДИЦИОННЫЕ И СОВРЕМЕННЫЕ МОДЕЛИ</t>
  </si>
  <si>
    <t>Филатов В.В., Петросян Д.С., Алексеев А.Е. и др.</t>
  </si>
  <si>
    <t>Справочники ИНФРА-М</t>
  </si>
  <si>
    <t>978-5-16-012235-9</t>
  </si>
  <si>
    <t>Справочное пособие</t>
  </si>
  <si>
    <t>Московский государственный университет технологий и управления им. К.Г. Разумовского</t>
  </si>
  <si>
    <t>247800.07.01</t>
  </si>
  <si>
    <t>Менеджмент: Уч. / А.В. Тебекин - М: НИЦ ИНФРА-М, 2024 - 384 - (ВО: Бакалавриат)(П)</t>
  </si>
  <si>
    <t>Тебекин А. В.</t>
  </si>
  <si>
    <t>978-5-16-009321-5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</si>
  <si>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направлению подготовки 38.03.02 (080200.62) "Менеджмент» (квалификация (степень) "б</t>
  </si>
  <si>
    <t>033295.21.01</t>
  </si>
  <si>
    <t>Менеджмент: Уч. / О.С.Виханский - 2 изд. - М.:Магистр, НИЦ ИНФРА-М,2023 - 288 с.(П)</t>
  </si>
  <si>
    <t>МЕНЕДЖМЕНТ, ИЗД.2</t>
  </si>
  <si>
    <t>Виханский О. С., Наумов А. И.</t>
  </si>
  <si>
    <t>978-5-9776-0085-9</t>
  </si>
  <si>
    <t>38.02.04, 13.02.06, 24.02.01, 31.02.01, 54.02.03, 38.02.06, 38.02.01, 38.02.02, 25.02.07</t>
  </si>
  <si>
    <t>Рекомендовано Министерство образования и науки Российской Федерации в качестве учебника обучающихся по направлению подготовки «Экономика» и для студентов высших учебных заведений, специальностям «Финансы и кредит», «Бухгалтерский учет, анализ, и ауди</t>
  </si>
  <si>
    <t>002806.28.01</t>
  </si>
  <si>
    <t>Менеджмент: Уч. / О.С.Виханский - 6 изд., перераб. и доп. - М.:Магистр, НИЦ ИНФРА-М,2023.-656с.(п)</t>
  </si>
  <si>
    <t>МЕНЕДЖМЕНТ, ИЗД.6</t>
  </si>
  <si>
    <t>Виханский О.С., Наумов А.И.</t>
  </si>
  <si>
    <t>978-5-9776-0320-1</t>
  </si>
  <si>
    <t>42.03.01, 41.03.05, 07.03.03, 20.03.01, 43.03.01, 43.03.02, 43.03.03, 35.03.03, 28.03.01, 16.03.03, 27.03.02, 29.03.02, 19.03.03, 19.03.04, 20.03.02, 38.04.02, 07.04.01, 37.05.01, 38.05.01, 38.05.02, 24.05.07, 24.05.01, 23.05.01, 23.05.02, 23.05.03, 23.05.05, 23.05.04, 18.05.01, 20.05.01, 35.03.07, 35.03.09, 38.03.02, 39.03.01, 37.03.02, 44.03.01, 44.03.05, 45.03.01, 35.03.04, 45.03.03, 51.03.01, 41.03.06</t>
  </si>
  <si>
    <t>Рекомендовано Министерством образования и науки Российской Федерации в качестве учебника обучающихся по направлению подготовки «Экономика» и для студентов высших учебных заведений, специальностям «Финансы и кредит», «Бухгалтерский учет, анализ и аудит», «Мировая экономика», «Налоги и налогообложение»</t>
  </si>
  <si>
    <t>0614</t>
  </si>
  <si>
    <t>002806.29.01</t>
  </si>
  <si>
    <t>Менеджмент: Уч. / О.С.Виханский - 7 изд., перераб. и доп. - М.:Магистр, НИЦ ИНФРА-М,2023.-672c.(п)</t>
  </si>
  <si>
    <t>МЕНЕДЖМЕНТ, ИЗД.7</t>
  </si>
  <si>
    <t>978-5-9776-0554-0</t>
  </si>
  <si>
    <t>0723</t>
  </si>
  <si>
    <t>698849.02.01</t>
  </si>
  <si>
    <t>Менеджмент: Уч. / О.С.Гапонова и др. - М.:ИЦ РИОР, НИЦ ИНФРА-М,2019 - 480 с.-(ВО)(П)</t>
  </si>
  <si>
    <t>Гапонова О.С., Данилова Л.С., Чилипенок Ю.Ю.</t>
  </si>
  <si>
    <t>978-5-369-01819-4</t>
  </si>
  <si>
    <t>38.04.02, 38.03.01, 38.03.02, 38.03.04</t>
  </si>
  <si>
    <t>047950.18.01</t>
  </si>
  <si>
    <t>Менеджмент: Уч. пос. /Е.Н.Кнышова-М.:ИД ФОРУМ, НИЦ ИНФРА-М,2024.-304 с..-(Проф.обр.)(П)</t>
  </si>
  <si>
    <t>Кнышова Е. Н.</t>
  </si>
  <si>
    <t>978-5-8199-0106-9</t>
  </si>
  <si>
    <t>38.02.04, 38.02.05, 26.02.04, 15.02.07, 08.02.01, 08.02.03, 08.02.04, 40.02.01, 38.02.06, 38.02.07, 38.02.01, 38.02.02, 38.02.03, 44.03.05</t>
  </si>
  <si>
    <t>Допущено Министерством образования РФ в качестве учебного пособия для студентов образовательных учреждений среднего профессионального образования, обучающихся по группе специальностей 0600 "Экономика и управление"</t>
  </si>
  <si>
    <t>0103</t>
  </si>
  <si>
    <t>092250.10.01</t>
  </si>
  <si>
    <t>Менеджмент: Уч. пос./ В.Д. Дорофеев - М.: НИЦ ИНФРА-М, 2023. - 328 с. (ВО) (П)</t>
  </si>
  <si>
    <t>Дорофеев В. Д., Шмелева А. Н., Шестопал Н. Ю.</t>
  </si>
  <si>
    <t>978-5-16-009538-7</t>
  </si>
  <si>
    <t>087120.15.01</t>
  </si>
  <si>
    <t>Менеджмент: Уч.пос. / А.В.Райченко - 2 изд. - М.:НИЦ ИНФРА-М,2022.-342 с.-(СПО)(П)</t>
  </si>
  <si>
    <t>Райченко А.В., Хохлова И.В.</t>
  </si>
  <si>
    <t>978-5-16-012233-5</t>
  </si>
  <si>
    <t>38.02.04, 38.02.05, 15.02.07, 08.02.01, 08.02.04, 40.02.01, 31.02.01, 38.02.06, 38.02.07, 38.02.01, 38.02.02, 38.02.03, 44.03.05</t>
  </si>
  <si>
    <t>271700.06.01</t>
  </si>
  <si>
    <t>Менеджмент: Уч.пос. / А.П.Балашов - М.:Вуз. уч., НИЦ ИНФРА-М,2023 - 272 с.(П)</t>
  </si>
  <si>
    <t>Балашов А.П.</t>
  </si>
  <si>
    <t>978-5-9558-0365-4</t>
  </si>
  <si>
    <t>15.02.07, 08.02.01, 08.02.04, 40.02.01, 38.02.07, 38.02.01, 38.02.03, 38.03.01, 38.03.06, 38.03.02, 44.03.05, 41.03.06</t>
  </si>
  <si>
    <t>Новосибирский государственный аграрный университет</t>
  </si>
  <si>
    <t>684816.04.01</t>
  </si>
  <si>
    <t>Менеджмент: Уч.пос. / А.П.Балашов - М.:Вуз.уч., НИЦ ИНФРА-М,2023 - 272 с.-(СПО)(П)</t>
  </si>
  <si>
    <t>978-5-9558-0627-3</t>
  </si>
  <si>
    <t>38.02.04, 38.02.05, 38.02.06, 38.02.07, 38.02.01, 38.02.02, 38.02.03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</si>
  <si>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5 от 11.03.2019)</t>
  </si>
  <si>
    <t>645602.05.01</t>
  </si>
  <si>
    <t>Менеджмент: Уч.пос. / Е.И.Мазилкина - М.:НИЦ ИНФРА-М,2023 - 197 с.(СПО)(П)</t>
  </si>
  <si>
    <t>Мазилкина Е.И.</t>
  </si>
  <si>
    <t>978-5-16-012447-6</t>
  </si>
  <si>
    <t>38.02.04, 15.02.07, 08.02.01, 08.02.04, 08.02.08, 40.02.01, 31.02.01, 38.02.07, 38.02.01, 38.02.03, 44.03.05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</si>
  <si>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</t>
  </si>
  <si>
    <t>051350.07.01</t>
  </si>
  <si>
    <t>Менеджмент: Уч.пос. / И.А.Иванова,-3 изд.-М.:ИЦ РИОР, ИНФРА-М Изд. Дом,2016.-128с.(ВО: Бакалавр.)(О)</t>
  </si>
  <si>
    <t>МЕНЕДЖМЕНТ, ИЗД.3</t>
  </si>
  <si>
    <t>Иванова И.А.</t>
  </si>
  <si>
    <t>978-5-369-00663-4</t>
  </si>
  <si>
    <t>15.02.07, 08.02.01, 08.02.04, 40.02.01, 38.02.07, 38.02.01, 38.02.03, 38.04.01, 38.04.06, 38.04.04, 38.03.01, 38.03.06, 38.03.04, 44.03.05, 51.03.01</t>
  </si>
  <si>
    <t>0308</t>
  </si>
  <si>
    <t>027277.18.01</t>
  </si>
  <si>
    <t>Менеджмент: Уч.пос. / Л.Е. Басовский - 2 изд. - М.: НИЦ ИНФРА-М, 2023 - 256 с.(ВО) (П)</t>
  </si>
  <si>
    <t>Басовский Л. Е.</t>
  </si>
  <si>
    <t>978-5-16-006401-7</t>
  </si>
  <si>
    <t>38.03.01, 38.03.02, 38.03.03, 44.03.01, 44.03.05, 44.03.04, 44.03.02, 44.03.03</t>
  </si>
  <si>
    <t>Рекомендовано Министерством образования РФ в качестве учебного пособия для студентов высших учебных заведений, обучающихся по экономическим и управленческим специальностям</t>
  </si>
  <si>
    <t>Тульский государственный педагогический университет им. Л.Н. Толстого</t>
  </si>
  <si>
    <t>757597.05.01</t>
  </si>
  <si>
    <t>Менеджмент: Уч.пос. / С.Д.Резник - 4 изд.-М.:НИЦ ИНФРА-М,2023.-367 с.(Менеджмент в высшей школе)(П)</t>
  </si>
  <si>
    <t>МЕНЕДЖМЕНТ, ИЗД.4</t>
  </si>
  <si>
    <t>978-5-16-017017-6</t>
  </si>
  <si>
    <t>Рекомендовано Советом Учебно-методического объединения вузов России по образованию в области менеджмента в качестве учебного пособия по направлениям «Менеджмент», «Управление персоналом» и «Экономика»</t>
  </si>
  <si>
    <t>0421</t>
  </si>
  <si>
    <t>298900.06.01</t>
  </si>
  <si>
    <t>Менеджмент: учебная и произв.практики...: Уч.пос. / Под ред. Звонниковой В.И.-М.:НИЦ ИНФРА-М,2022.-168 с.(О)</t>
  </si>
  <si>
    <t>МЕНЕДЖМЕНТ: УЧЕБНАЯ И ПРОИЗВОДСТВЕННАЯ ПРАКТИКИ БАКАЛАВРА</t>
  </si>
  <si>
    <t>В.И.Звонников, А.Е.Черницов, В.В.Двоеглазов и др.</t>
  </si>
  <si>
    <t>978-5-16-010135-4</t>
  </si>
  <si>
    <t>35.02.12, 42.03.01, 38.03.02, 41.03.06</t>
  </si>
  <si>
    <t>071540.06.01</t>
  </si>
  <si>
    <t>Менеджмент: Шпаргалка - 2 изд. - М.:ИЦ РИОР, НИЦ ИНФРА-М,2017-125 с.-(Шпаргалки на 5+)(О)</t>
  </si>
  <si>
    <t>Шпаргалки на 5+</t>
  </si>
  <si>
    <t>978-5-369-01611-4</t>
  </si>
  <si>
    <t>15.02.07, 35.02.12, 08.02.01, 08.02.04, 40.02.01, 38.02.07, 38.02.01, 38.02.03, 42.03.01, 07.03.03, 35.03.03, 27.03.02, 29.03.02, 19.03.04, 14.04.02, 38.04.02, 38.04.03, 38.04.04, 16.04.02, 15.04.01, 27.04.04, 23.03.01, 27.03.04, 29.03.03, 21.03.03, 35.03.05, 35.03.08, 35.03.09, 38.03.02, 38.03.04, 38.03.03, 44.03.05, 45.03.01, 35.03.04, 52.03.01, 45.03.03, 51.03.01</t>
  </si>
  <si>
    <t>141550.07.01</t>
  </si>
  <si>
    <t>Менеждмент. Восприятие сущности менедж....: Уч. пос. / В.И.Грушенко - М.: ИНФРА-М, 2024-288с.(ВО) (п)</t>
  </si>
  <si>
    <t>МЕНЕЖДМЕНТ. ВОСПРИЯТИЕ СУЩНОСТИ МЕНЕДЖМЕНТА В УСЛОВИЯХ СТРАТЕГИЧЕСКИХ ИЗМЕНЕНИЙ</t>
  </si>
  <si>
    <t>Грушенко В. И.</t>
  </si>
  <si>
    <t>978-5-16-004559-7</t>
  </si>
  <si>
    <t>38.04.01, 38.04.02, 38.04.03, 38.04.04, 38.03.01, 38.03.02, 38.03.04, 38.03.03, 44.03.01, 44.03.05, 41.03.06</t>
  </si>
  <si>
    <t>Допущено Советом Учебно-методического объединения вузов России по образованию в области менеджмента в качестве учебного пособия по направлению "Менеджмент"</t>
  </si>
  <si>
    <t>Финансовый университет при Правительстве Российской Федерации, Смоленский ф-л</t>
  </si>
  <si>
    <t>642423.04.01</t>
  </si>
  <si>
    <t>Местное управление в США: орг. и..: Моногр. / А.И.Черкасов -М.:Юр.Норма, НИЦ ИНФРА-М,2023-80с(о)</t>
  </si>
  <si>
    <t>МЕСТНОЕ  УПРАВЛЕНИЕ В США: ОРГАНИЗАЦИЯ И ТЕНДЕНЦИИ РАЗВИТИЯ</t>
  </si>
  <si>
    <t>Черкасов А.И.</t>
  </si>
  <si>
    <t>978-5-91768-778-0</t>
  </si>
  <si>
    <t>40.03.01, 40.04.01, 38.04.04</t>
  </si>
  <si>
    <t>Институт государства и права Российской академии наук</t>
  </si>
  <si>
    <t>335200.08.01</t>
  </si>
  <si>
    <t>Методология исслед.компетенций персонала орг.: Моногр./О.Л.Чуланова-М.:НИЦ ИНФРА-М,2022.-121 с.(о)</t>
  </si>
  <si>
    <t>МЕТОДОЛОГИЯ ИССЛЕДОВАНИЯ КОМПЕТЕНЦИЙ ПЕРСОНАЛА ОРГАНИЗАЦИЙ</t>
  </si>
  <si>
    <t>978-5-16-010660-1</t>
  </si>
  <si>
    <t>38.04.03, 38.03.01, 38.03.03, 41.03.06</t>
  </si>
  <si>
    <t>346700.05.01</t>
  </si>
  <si>
    <t>Методология проект.в нефтегаз.отрасли...: Уч.пос./В.Ю.Керимов-М.:НИЦ ИНФРА-М,2023-123(ВО:Магистр)(о)</t>
  </si>
  <si>
    <t>МЕТОДОЛОГИЯ ПРОЕКТИРОВАНИЯ В НЕФТЕГАЗОВОЙ ОТРАСЛИ И УПРАВЛЕНИЕ ПРОЕКТАМИ</t>
  </si>
  <si>
    <t>Керимов В.Ю., Толстов А.Б., Мустаев Р.Н. и др.</t>
  </si>
  <si>
    <t>978-5-16-010809-4</t>
  </si>
  <si>
    <t>21.04.01, 21.05.06, 21.05.02</t>
  </si>
  <si>
    <t>Специализация по профилю «Геология нефти и газа» направления 21.05.02 «Прикладная геология» Направление подготовки 21.04.01 «Нефтегазовое дело». Программы подготовки 21.04.01.32 «Технологии освоения ресурсов углеводородов», 21.04.01.34 «Моделирование нефтегазовых геосистем и осадочных бассейнов»</t>
  </si>
  <si>
    <t>Российский государственный университет нефти и газа (НИУ) им. И.М. Губкина</t>
  </si>
  <si>
    <t>169350.08.01</t>
  </si>
  <si>
    <t>Методология управления проектами: Моногр. / О.Н.Ильина - М.:Вуз.уч., НИЦ ИНФРА-М,2024.- 208 с.-(О)</t>
  </si>
  <si>
    <t>МЕТОДОЛОГИЯ УПРАВЛЕНИЯ ПРОЕКТАМИ: СТАНОВЛЕНИЕ, СОВРЕМЕННОЕ СОСТОЯНИЕ И РАЗВИТИЕ</t>
  </si>
  <si>
    <t>Ильина О. Н.</t>
  </si>
  <si>
    <t>978-5-9558-0400-2</t>
  </si>
  <si>
    <t>27.03.05, 38.04.01, 38.04.02, 38.04.04, 27.04.05, 38.03.01, 38.03.02, 38.03.04, 44.03.05, 41.03.06</t>
  </si>
  <si>
    <t>700702.02.01</t>
  </si>
  <si>
    <t>Методология учетно-аналитич. обесп.системы...: Моногр. / Н.С.Пласкова-М.:НИЦ ИНФРА-М,2023-179с(О)</t>
  </si>
  <si>
    <t>МЕТОДОЛОГИЯ УЧЕТНО-АНАЛИТИЧЕСКОГО ОБЕСПЕЧЕНИЯ СИСТЕМЫ УПРАВЛЕНИЯ ИННОВАЦИОННОЙ ДЕЯТЕЛЬНОСТЬЮ</t>
  </si>
  <si>
    <t>Пласкова Н.С., Полянская Т.А., Проданова Н.А.</t>
  </si>
  <si>
    <t>978-5-16-015052-9</t>
  </si>
  <si>
    <t>38.04.01, 38.04.02, 38.06.01</t>
  </si>
  <si>
    <t>766073.01.01</t>
  </si>
  <si>
    <t>Методология учетно-аналитич. обеспеч. контроллинга в сис...: Моногр. / Н.С.Пласкова-М.:НИЦ ИНФРА-М,2022.-198 с.(П)</t>
  </si>
  <si>
    <t>МЕТОДОЛОГИЯ УЧЕТНО-АНАЛИТИЧЕСКОГО ОБЕСПЕЧЕНИЯ КОНТРОЛЛИНГА В СИСТЕМЕ УПРАВЛЕНИЯ ОРГАНИЗАЦИЕЙ</t>
  </si>
  <si>
    <t>Пласкова Н.С.</t>
  </si>
  <si>
    <t>978-5-16-017318-4</t>
  </si>
  <si>
    <t>56.05.01, 38.02.06, 38.04.01, 38.04.08, 38.04.02, 38.06.01</t>
  </si>
  <si>
    <t>631443.02.01</t>
  </si>
  <si>
    <t>Методы и алгоритмы обработки данных: Уч.пос. / А.А.Григорьев - М.:НИЦ ИНФРА-М,2018-256с.(ВО)(П)</t>
  </si>
  <si>
    <t>МЕТОДЫ И АЛГОРИТМЫ ОБРАБОТКИ ДАННЫХ</t>
  </si>
  <si>
    <t>Григорьев А.А.</t>
  </si>
  <si>
    <t>978-5-16-011916-8</t>
  </si>
  <si>
    <t>38.04.01, 38.04.02, 38.05.01, 38.03.01, 38.03.02</t>
  </si>
  <si>
    <t>631443.05.01</t>
  </si>
  <si>
    <t>Методы и алгоритмы обработки данных: Уч.пос. / А.А.Григорьев, - 2 изд.-М.:НИЦ ИНФРА-М,2023.-383 с.(ВО)(П)</t>
  </si>
  <si>
    <t>МЕТОДЫ И АЛГОРИТМЫ ОБРАБОТКИ ДАННЫХ, ИЗД.2</t>
  </si>
  <si>
    <t>Григорьев А.А., Исаев Е.А.</t>
  </si>
  <si>
    <t>978-5-16-015581-4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</si>
  <si>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экономическим направлениям подготовки и специальностям  (протокол № 8 от 22.06.2020)</t>
  </si>
  <si>
    <t>445550.08.01</t>
  </si>
  <si>
    <t>Методы и модели принятия упр.решений: Уч.пос./Е.В.Бережная-М.:НИЦ ИНФРА-М,2022-384с.(ВО:Бакалавр.)(п)</t>
  </si>
  <si>
    <t>МЕТОДЫ И МОДЕЛИ ПРИНЯТИЯ УПРАВЛЕНЧЕСКИХ РЕШЕНИЙ</t>
  </si>
  <si>
    <t>Бережная Е. В., Бережной В. И.</t>
  </si>
  <si>
    <t>978-5-16-006914-2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</si>
  <si>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38.03.02 (080200.62) «Менеджмент» (квалификация (степень) «бакалавр»)</t>
  </si>
  <si>
    <t>151150.07.01</t>
  </si>
  <si>
    <t>Методы и модели упр. огранич. ресурс. в логист. сист.: Уч.пос. / А.В.Мищенко - 2 изд.- М.: ИНФРА-М, 2024-185с.(ВО)</t>
  </si>
  <si>
    <t>МЕТОДЫ И МОДЕЛИ УПРАВЛЕНИЯ ОГРАНИЧЕННЫМИ РЕСУРСАМИ В ЛОГИСТИЧЕСКИХ СИСТЕМАХ, ИЗД.2</t>
  </si>
  <si>
    <t>Мищенко А.В.</t>
  </si>
  <si>
    <t>978-5-16-013083-5</t>
  </si>
  <si>
    <t>38.02.04, 38.04.06, 29.04.02, 23.03.01, 38.03.01, 38.03.06, 42.03.03</t>
  </si>
  <si>
    <t>Допущено УМО по образованию в области логистики в качестве учебного пособия для студентов высших учебных заведений, обучающихся по направлению «Менеджмент» (специальность «Логистика и управление цепями поставок»)</t>
  </si>
  <si>
    <t>Технологический университет имени дважды героя Советского Союза, летчика-космонавта А.А.Леонова</t>
  </si>
  <si>
    <t>108000.10.01</t>
  </si>
  <si>
    <t>Методы и модели упр.инвест.в логистике: Уч.пос. / А.В.Мищенко - 2 изд. -М.:НИЦ ИНФРА-М,2020-370с.(п)</t>
  </si>
  <si>
    <t>МЕТОДЫ И МОДЕЛИ УПРАВЛЕНИЯ ИНВЕСТИЦИЯМИ В ЛОГИСТИКЕ, ИЗД.2</t>
  </si>
  <si>
    <t>Мищенко А. В.</t>
  </si>
  <si>
    <t>978-5-16-011703-4</t>
  </si>
  <si>
    <t>38.02.04, 38.04.07, 38.04.01, 38.04.08, 38.04.06, 38.04.02, 38.04.05, 29.04.02, 23.03.01, 38.03.01, 38.03.05, 38.03.06, 38.03.02</t>
  </si>
  <si>
    <t>151200.07.01</t>
  </si>
  <si>
    <t>Методы менеджмента кач-ва. Методол. организ... /П.С.Серенков-М:Инфра-М; Мн:Нов. знан., 2022-491с(ВО)</t>
  </si>
  <si>
    <t>МЕТОДЫ МЕНЕДЖМЕНТА КАЧЕСТВА. МЕТОДОЛОГИЯ ОРГАНИЗАЦИОННОГО ПРОЕКТИРОВАНИЯ ИНЖЕНЕРНОЙ СОСТАВЛЯЮЩЕЙ СИСТЕМЫ МЕНЕДЖМЕНТА КАЧЕСТВА</t>
  </si>
  <si>
    <t>Серенков П. С.</t>
  </si>
  <si>
    <t>978-5-16-004962-5</t>
  </si>
  <si>
    <t>27.03.01, 27.03.02, 20.03.02, 38.04.02, 38.04.04, 27.04.05, 28.03.02, 29.03.03, 38.03.02, 38.03.04, 41.03.06</t>
  </si>
  <si>
    <t>Белорусский национальный технический университет</t>
  </si>
  <si>
    <t>254100.03.01</t>
  </si>
  <si>
    <t>Методы менеджмента качества. Методология упр.. / П.С.Серенков - М.:НИЦ ИНФРА-М, Нов.знание,2018-256с</t>
  </si>
  <si>
    <t>МЕТОДЫ МЕНЕДЖМЕНТА КАЧЕСТВА. МЕТОДОЛОГИЯ УПРАВЛЕНИЯ РИСКОМ СТАНДАРТИЗАЦИИ</t>
  </si>
  <si>
    <t>Серенков П. С., Гуревич В. Л., Романчак В. М., Янушкевич А. В.</t>
  </si>
  <si>
    <t>978-985-475-626-4</t>
  </si>
  <si>
    <t>27.04.08, 27.04.07, 38.04.02, 27.04.02, 27.04.01, 27.04.03, 27.04.04, 27.04.05, 27.04.06, 27.05.01, 27.05.02</t>
  </si>
  <si>
    <t>458750.05.01</t>
  </si>
  <si>
    <t>Методы менеджмента качества. Процес. подход: Уч.пос. / П.С.Серенков -М.:НИЦ ИНФРА-М, Нов. знание,2020.-441 с.(ВО)(П)</t>
  </si>
  <si>
    <t>МЕТОДЫ МЕНЕДЖМЕНТА КАЧЕСТВА. ПРОЦЕССНЫЙ ПОДХОД</t>
  </si>
  <si>
    <t>Серенков П.С., Курьян А.Г., Волонтей В.П.</t>
  </si>
  <si>
    <t>978-985-475-628-8</t>
  </si>
  <si>
    <t>27.03.01, 27.04.07, 38.04.02, 27.04.02, 27.04.01, 27.04.03, 27.04.04, 27.04.05, 27.04.06, 38.03.02</t>
  </si>
  <si>
    <t>667672.05.01</t>
  </si>
  <si>
    <t>Методы оптимальных решений: Уч.пос. / А.В.Бородин - М.:НИЦ ИНФРА-М,2023 - 203 с.-(ВО)(П)</t>
  </si>
  <si>
    <t>МЕТОДЫ ОПТИМАЛЬНЫХ РЕШЕНИЙ</t>
  </si>
  <si>
    <t>Бородин А.В., Пителинский К.В.</t>
  </si>
  <si>
    <t>978-5-16-012308-0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</si>
  <si>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</si>
  <si>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Московская государственная академия ветеринарной медицины и биотехнологии - МВА им. К.И. Скрябина</t>
  </si>
  <si>
    <t>704179.03.01</t>
  </si>
  <si>
    <t>Методы оценки эффект. упр. производ.-фин. деят. предп.: Моногр./А.В.Мищенко-М.:НИЦ ИНФРА-М,2023-338с</t>
  </si>
  <si>
    <t>МЕТОДЫ ОЦЕНКИ ЭФФЕКТИВНОСТИ УПРАВЛЕНИЯ ПРОИЗВОДСТВЕННО-ФИНАНСОВОЙ ДЕЯТЕЛЬНОСТЬЮ ПРЕДПРИЯТИЯ</t>
  </si>
  <si>
    <t>Мищенко А.В., Михеева Е.В.</t>
  </si>
  <si>
    <t>978-5-16-015286-8</t>
  </si>
  <si>
    <t>685008.04.01</t>
  </si>
  <si>
    <t>Методы повышения производительности и оплаты труда/ Б.М.Генкин - М.:Юр.Норма, НИЦ ИНФРА-М,2023-160с(П)</t>
  </si>
  <si>
    <t>МЕТОДЫ ПОВЫШЕНИЯ ПРОИЗВОДИТЕЛЬНОСТИ И ОПЛАТЫ ТРУДА</t>
  </si>
  <si>
    <t>Генкин Б.М.</t>
  </si>
  <si>
    <t>978-5-91768-937-1</t>
  </si>
  <si>
    <t>485800.08.01</t>
  </si>
  <si>
    <t>Методы принятия упр.решений: Уч.пос. / В.Л.Сендеров - М.:НИЦ ИНФРА-М,2023-227с.(ВО:Бакалавр.)(П)</t>
  </si>
  <si>
    <t>МЕТОДЫ ПРИНЯТИЯ УПРАВЛЕНЧЕСКИХ РЕШЕНИЙ</t>
  </si>
  <si>
    <t>Сендеров В.Л., Юрченко Т.И., Воронцова Ю.В. и др.</t>
  </si>
  <si>
    <t>978-5-16-011735-5</t>
  </si>
  <si>
    <t>483850.08.01</t>
  </si>
  <si>
    <t>Методы принятия управленческих решений: Уч.пос./Н.В.Кузнецова-М.:НИЦ ИНФРА-М,2024-222с.(ВО)(п)</t>
  </si>
  <si>
    <t>Н.В.Кузнецова</t>
  </si>
  <si>
    <t>978-5-16-018911-6</t>
  </si>
  <si>
    <t>Магнитогорский государственный технический университет им. Г.И. Носова</t>
  </si>
  <si>
    <t>151150.04.01</t>
  </si>
  <si>
    <t>Методы упр. ограниченными ресурсами в логистике: Уч.пос. / А.В.Мищенко - М.: ИНФРА-М, 2017-184с.(ВО)</t>
  </si>
  <si>
    <t>МЕТОДЫ УПРАВЛЕНИЯ ОГРАНИЧЕННЫМИ РЕСУРСАМИ В ЛОГИСТИКЕ</t>
  </si>
  <si>
    <t>978-5-16-004515-3</t>
  </si>
  <si>
    <t>737037.01.01</t>
  </si>
  <si>
    <t>Методы финансового планирования и оценки..: Моногр. / А.В.Мищенко-М.:НИЦ ИНФРА-М,2023.-304 с.(О)</t>
  </si>
  <si>
    <t>МЕТОДЫ ФИНАНСОВОГО ПЛАНИРОВАНИЯ И ОЦЕНКИ ЭФФЕКТИВНОСТИ УПРАВЛЕНИЯ ПРОИЗВОДСТВЕННО-ФИНАНСОВОЙ ДЕЯТЕЛЬНОСТЬЮ ПРЕДПРИЯТИЯ</t>
  </si>
  <si>
    <t>Мищенко А.В., Пилюгина А.В.</t>
  </si>
  <si>
    <t>978-5-16-017783-0</t>
  </si>
  <si>
    <t>153950.05.01</t>
  </si>
  <si>
    <t>Методы эконом. обосн. упр.решений по формированию..: Моногр. /О.Ю.Мичурина -М.:ИНФРА-М,2019-157с.(о)</t>
  </si>
  <si>
    <t>МЕТОДЫ ЭКОНОМИЧЕСКОГО ОБОСНОВАНИЯ УПРАВЛЕНЧЕСКИХ РЕШЕНИЙ ПО ФОРМИРОВАНИЮ ПРОМЫШЛЕННЫХ СЕТЕЙ В СУДОСТРОЕНИИ</t>
  </si>
  <si>
    <t>Мичурина О.Ю.</t>
  </si>
  <si>
    <t>978-5-16-004995-3</t>
  </si>
  <si>
    <t>38.04.01, 38.04.08, 38.03.01</t>
  </si>
  <si>
    <t>Астраханский государственный технический университет</t>
  </si>
  <si>
    <t>287000.08.01</t>
  </si>
  <si>
    <t>Методы, модели, средства хранения и обр.данных: Уч. / Э.Г.Дадян-М.:Вуз.уч.,НИЦ ИНФРА-М,2022-168с.(П)</t>
  </si>
  <si>
    <t>МЕТОДЫ, МОДЕЛИ, СРЕДСТВА ХРАНЕНИЯ И ОБРАБОТКИ ДАННЫХ</t>
  </si>
  <si>
    <t>Дадян Э.Г., Зеленков Ю.А.</t>
  </si>
  <si>
    <t>978-5-9558-0490-3</t>
  </si>
  <si>
    <t>02.03.02, 02.03.03, 03.03.02, 01.03.04, 09.03.01, 09.03.04, 02.04.03, 01.04.04, 02.04.01, 02.04.02, 01.04.02, 02.03.01, 01.03.02, 09.03.03</t>
  </si>
  <si>
    <t>465550.07.01</t>
  </si>
  <si>
    <t>Механизм компл. оценки и упр. рисками...: Моногр. / М.Р.Дзагоева-М.:НИЦ ИНФРА-М,2024-120с.(о)</t>
  </si>
  <si>
    <t>МЕХАНИЗМ КОМПЛЕКСНОЙ ОЦЕНКИ И УПРАВЛЕНИЯ РИСКАМИ ПРЕДПРИЯТИЙ ПРОМЫШЛЕННОСТИ</t>
  </si>
  <si>
    <t>Дзагоева М.Р., Цховребов А.Р., Комаева Л.Э.</t>
  </si>
  <si>
    <t>978-5-16-009698-8</t>
  </si>
  <si>
    <t>38.04.01, 38.03.01</t>
  </si>
  <si>
    <t>Северо-Осетинский государственный университет им. К.Л. Хетагурова</t>
  </si>
  <si>
    <t>657429.04.01</t>
  </si>
  <si>
    <t>Механизмы управления государственными закупками: Моногр./ В.В.Иванов-М.:НИЦ ИНФРА-М,2020-207 с.(Науч.мысль)(П)</t>
  </si>
  <si>
    <t>МЕХАНИЗМЫ УПРАВЛЕНИЯ ГОСУДАРСТВЕННЫМИ ЗАКУПКАМИ</t>
  </si>
  <si>
    <t>Иванов В.В., Григ И.И.</t>
  </si>
  <si>
    <t>978-5-16-012870-2</t>
  </si>
  <si>
    <t>38.04.04, 38.03.01, 44.03.01</t>
  </si>
  <si>
    <t>788754.01.01</t>
  </si>
  <si>
    <t>Многокритериальный выбор в исследованиях логистики: Уч. / Г.Л.Бродецкий.-М.:НИЦ ИНФРА-М,2023.-342с(ВО)(п)</t>
  </si>
  <si>
    <t>МНОГОКРИТЕРИАЛЬНЫЙ ВЫБОР В ИССЛЕДОВАНИЯХ ЛОГИСТИКИ</t>
  </si>
  <si>
    <t>Бродецкий Г.Л., Гусев Д.А., Шидловский И.Г.</t>
  </si>
  <si>
    <t>978-5-16-017994-0</t>
  </si>
  <si>
    <t>01.03.03, 01.04.03, 38.04.02, 09.04.01, 38.05.02, 38.03.02</t>
  </si>
  <si>
    <t>108350.12.01</t>
  </si>
  <si>
    <t>Многомерный стат. анализ в эконом. задачах: Уч. пос. / Под ред. И.В. Орловой - Вуз. уч.,2024 - 310с.(П)</t>
  </si>
  <si>
    <t>МНОГОМЕРНЫЙ СТАТИСТИЧЕСКИЙ АНАЛИЗ В ЭКОНОМИЧЕСКИХ ЗАДАЧАХ: КОМПЬЮТЕРНОЕ МОДЕЛИРОВАНИЕ В SPSS</t>
  </si>
  <si>
    <t>Концевая Н.В., Орлова И.В., Турундаевский В.Б. и др.</t>
  </si>
  <si>
    <t>978-5-9558-0108-7</t>
  </si>
  <si>
    <t>38.03.01, 38.03.05, 38.03.06, 38.03.07, 38.03.02, 38.03.04</t>
  </si>
  <si>
    <t>Рекомендовано Научно-методическим советом по заочному экономическому образованию в качестве учебного пособия для студентов высших учебных заведений, обучающихся по экономическим специальностям</t>
  </si>
  <si>
    <t>664379.04.01</t>
  </si>
  <si>
    <t>Моделирование процес.принятия реш. в рамках взаимодействия..../ Д.С.Оверчку.-М.:ИНФРА-М,2023-126с(О)</t>
  </si>
  <si>
    <t>МОДЕЛИРОВАНИЕ ПРОЦЕССОВ ПРИНЯТИЯ РЕШЕНИЙ В РАМКАХ ВЗАИМОДЕЙСТВИЯ ЭКОНОМИЧЕСКИХ АГЕНТОВ ПРИ РЕАЛИЗАЦИИ ОБЩЕСТВЕННО ЗНАЧИМЫХ ИНФРАСТРУКТУРНЫХ ПРОЕКТОВ</t>
  </si>
  <si>
    <t>Оверчук Д.С.</t>
  </si>
  <si>
    <t>978-5-16-014832-8</t>
  </si>
  <si>
    <t>38.04.01, 38.04.02, 38.03.02</t>
  </si>
  <si>
    <t>124900.12.01</t>
  </si>
  <si>
    <t>Моделирование стоимости компании...: Моногр. / И.В.Ивашковская - М.:НИЦ ИНФРА-М,2024-430с.(Науч.мысль)</t>
  </si>
  <si>
    <t>МОДЕЛИРОВАНИЕ СТОИМОСТИ КОМПАНИИ. СТРАТЕГИЧЕСКАЯ ОТВЕТСТВЕННОСТЬ СОВЕТА ДИРЕКТОРОВ</t>
  </si>
  <si>
    <t>Ивашковская И.В.</t>
  </si>
  <si>
    <t>978-5-16-004090-5</t>
  </si>
  <si>
    <t>38.04.01, 38.04.02, 38.04.05, 38.06.01, 38.03.01, 38.03.05, 38.03.02, 44.03.05</t>
  </si>
  <si>
    <t>478150.05.01</t>
  </si>
  <si>
    <t>Моделирование упр. решений в сфере эк. в усл..: Моногр. / И.И.Белолипцев-М.:НИЦ ИНФРА-М,2023-299с(П)</t>
  </si>
  <si>
    <t>МОДЕЛИРОВАНИЕ УПРАВЛЕНЧЕСКИХ РЕШЕНИЙ В СФЕРЕ ЭКОНОМИКИ В УСЛОВИЯХ НЕОПРЕДЕЛЕННОСТИ</t>
  </si>
  <si>
    <t>Белолипцев И.И., Горбатков С.А., Романов А.Н. и др.</t>
  </si>
  <si>
    <t>978-5-16-010269-6</t>
  </si>
  <si>
    <t>40.03.01, 38.04.01, 38.04.02, 38.04.04, 38.06.01, 38.03.01, 38.03.02, 38.03.04</t>
  </si>
  <si>
    <t>Финансовый университет при Правительстве Российской Федерации, Уфимский ф-л</t>
  </si>
  <si>
    <t>684154.03.01</t>
  </si>
  <si>
    <t>Моделирование фин.-хоз. деят. компании в Project Expert: Уч.пос. / Я.Л.Гобарева-М.:НИЦ ИНФРА-М,2023-197с(П)</t>
  </si>
  <si>
    <t>МОДЕЛИРОВАНИЕ ФИНАНСОВО-ХОЗЯЙСТВЕННОЙ ДЕЯТЕЛЬНОСТИ КОМПАНИИ В PROJECT EXPERT</t>
  </si>
  <si>
    <t>978-5-16-014387-3</t>
  </si>
  <si>
    <t>751193.01.01</t>
  </si>
  <si>
    <t>Мониторинг устойчивости предприятий с длит. производств. циклом / А.Д.Бобрышев.-М.:НИЦ ИНФРА-М,2021.-201 с.(П)</t>
  </si>
  <si>
    <t>МОНИТОРИНГ УСТОЙЧИВОСТИ ПРЕДПРИЯТИЙ С ДЛИТЕЛЬНЫМ ПРОИЗВОДСТВЕННЫМ ЦИКЛОМ</t>
  </si>
  <si>
    <t>Бобрышев А.Д., Тумин В.М., Витушкина М.Г.</t>
  </si>
  <si>
    <t>978-5-16-016761-9</t>
  </si>
  <si>
    <t>Всероссийский научно-исследовательский институт "Центр"</t>
  </si>
  <si>
    <t>141950.09.01</t>
  </si>
  <si>
    <t>Мотивация - основа упр. человеч. ресурсами: Моногр. / А.Е. Боковня - М.:НИЦ ИНФРА-М,2022-144с(О)</t>
  </si>
  <si>
    <t>МОТИВАЦИЯ - ОСНОВА УПРАВЛЕНИЯ ЧЕЛОВЕЧЕСКИМИ РЕСУРСАМИ (ТЕОРИЯ И ПРАКТИКА ФОРМИРОВАНИЯ МОТИВИРУЮЩЕЙ ОРГАНИЗАЦИОННОЙ СРЕДЫ И СОЗДАНИЯ ЕДИНОЙ СИСТЕМЫ МОТИВАЦИИ КОМПАНИИ)</t>
  </si>
  <si>
    <t>Боковня А.Е.</t>
  </si>
  <si>
    <t>978-5-16-004523-8</t>
  </si>
  <si>
    <t>38.04.01, 38.04.02, 38.04.03, 38.04.04, 38.06.01, 41.06.01, 38.03.01, 38.03.02, 38.03.04, 38.03.03, 44.03.01, 41.03.06</t>
  </si>
  <si>
    <t>633652.09.01</t>
  </si>
  <si>
    <t>Мотивация и оплата труда...: Уч.пос. / А.В.Ребров - М.:НИЦ ИНФРА-М,2024 - 346 с(ВО)(п)</t>
  </si>
  <si>
    <t>МОТИВАЦИЯ И ОПЛАТА ТРУДА. СОВРЕМЕННЫЕ МОДЕЛИ И ТЕХНОЛОГИИ</t>
  </si>
  <si>
    <t>Ребров А.В.</t>
  </si>
  <si>
    <t>978-5-16-018635-1</t>
  </si>
  <si>
    <t>166300.05.01</t>
  </si>
  <si>
    <t>Мотивация и орг.эффект.работы: Моногр. / Б.М.Генкин - 2 изд. - М.:Юр.Норма,НИЦ ИНФРА-М,2020-352с.(п)</t>
  </si>
  <si>
    <t>МОТИВАЦИЯ И ОРГАНИЗАЦИЯ ЭФФЕКТИВНОЙ РАБОТЫ (ТЕОРИЯ И ПРАКТИКА), ИЗД.2</t>
  </si>
  <si>
    <t>Генкин Б. М.</t>
  </si>
  <si>
    <t>978-5-91768-711-7</t>
  </si>
  <si>
    <t>323200.05.01</t>
  </si>
  <si>
    <t>Мотивация и стимулир. трудовой деят.: Уч. / Минева О.К. - 2 изд. - М.:НИЦ ИНФРА-М,2024-275 с.(ВО)(п)</t>
  </si>
  <si>
    <t>МОТИВАЦИЯ И СТИМУЛИРОВАНИЕ ТРУДОВОЙ ДЕЯТЕЛЬНОСТИ, ИЗД.2</t>
  </si>
  <si>
    <t>Минева О.К., Арутюнян С.А., Гаджиева Е.А. и др.</t>
  </si>
  <si>
    <t>978-5-16-018886-7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</si>
  <si>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высших учебных заведений, обучающихся по направлению подготовки 38.03.03 «Управление персоналом» (квалификация (степень) «бакалавр») (регистрационный номер рецензии 405 от 29.09.2014 (ФГАУ ФИРО))</t>
  </si>
  <si>
    <t>Астраханский государственный университет</t>
  </si>
  <si>
    <t>077800.12.01</t>
  </si>
  <si>
    <t>Мотивация и стимулир. трудовой деят.: Уч.пос. / А.П.Егоршин, - 3 изд.-М.:НИЦ ИНФРА-М,2024.-378 с.(ВО)(п)</t>
  </si>
  <si>
    <t>МОТИВАЦИЯ И СТИМУЛИРОВАНИЕ ТРУДОВОЙ ДЕЯТЕЛЬНОСТИ, ИЗД.3</t>
  </si>
  <si>
    <t>Егоршин А. П.</t>
  </si>
  <si>
    <t>978-5-16-006048-4</t>
  </si>
  <si>
    <t>Допущено Министерством образовния РФ в качестве учебного пособия для студентов высших учебных заведений, обучающихся по направлению (специальности) "Управление персоналом"</t>
  </si>
  <si>
    <t>0311</t>
  </si>
  <si>
    <t>323200.02.01</t>
  </si>
  <si>
    <t>Мотивация и стимулирование трудовой деят.: Уч. / О.К.Минева-М.:Альфа-М: ИНФРА-М,2017-272с(Бакалавр.)(п)</t>
  </si>
  <si>
    <t>МОТИВАЦИЯ И СТИМУЛИРОВАНИЕ ТРУДОВОЙ ДЕЯТЕЛЬНОСТИ</t>
  </si>
  <si>
    <t>Минева О. К., Арутюнян С. А., Белик Е. А., Крюкова Е. В.</t>
  </si>
  <si>
    <t>Высшая школа. Бакалавриат</t>
  </si>
  <si>
    <t>978-5-98281-419-7</t>
  </si>
  <si>
    <t>105000.16.01</t>
  </si>
  <si>
    <t>Мотивация и стимулирование трудовой деят.: Уч./ А.Я.Кибанов - М.: ИНФРА-М, 2022 - 524 с. (ВО)(П)</t>
  </si>
  <si>
    <t>Кибанов А. Я., Баткаева И. А., Митрофанова Е. А., Ловчева М. В., Кибанов А. Я.</t>
  </si>
  <si>
    <t>978-5-16-003544-4</t>
  </si>
  <si>
    <t>38.02.04, 31.02.04, 38.02.07, 38.02.03, 04.03.02, 38.04.03, 43.04.03, 23.03.01, 38.03.01, 38.03.03, 44.03.01, 41.03.06, 51.03.02</t>
  </si>
  <si>
    <t>Рекомендовано Учебно-методическим объединением вузов России по образованию в области менеджмента в качестве учебника для студентов высших учебных заведений, обучающихся по направлениям «Менеджмент», «Управление персоналом»</t>
  </si>
  <si>
    <t>740844.03.01</t>
  </si>
  <si>
    <t>Мотивация и стимулирование трудовой деятельности: Уч. / Д.А.Севостьянов-М.:НИЦ ИНФРА-М,2023.-278 с.(ВО: Бакалавр.)(П)</t>
  </si>
  <si>
    <t>Севостьянов Д.А.</t>
  </si>
  <si>
    <t>978-5-16-016508-0</t>
  </si>
  <si>
    <t>38.03.01, 38.03.02, 38.03.03, 41.03.06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</si>
  <si>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38.03.03 «Управление персоналом» (квалификация (степень) «бакалавр») (протокол № 5 от 19.05.2021)</t>
  </si>
  <si>
    <t>Новосибирский государственный медицинский университет</t>
  </si>
  <si>
    <t>149450.09.01</t>
  </si>
  <si>
    <t>Мотивация трудовой деятельности: Уч. пос. / Под ред. В.П.Пугачева - М.: ИНФРА-М, 2023-394с(ВО) (П)</t>
  </si>
  <si>
    <t>МОТИВАЦИЯ ТРУДОВОЙ ДЕЯТЕЛЬНОСТИ</t>
  </si>
  <si>
    <t>Зайцева Т. В., Черняева Г. В., Батоврина Е. В., Пугачев В. П.</t>
  </si>
  <si>
    <t>978-5-16-004575-7</t>
  </si>
  <si>
    <t>38.04.02, 38.04.03, 38.04.04, 38.03.01, 38.03.02, 38.03.04, 38.03.03, 41.03.06</t>
  </si>
  <si>
    <t>Допущено Советом Учебно-методического объединения вузов России по образованию в области менеджмента в качестве учебного пособия по специальности 080505 "Управление персоналом"</t>
  </si>
  <si>
    <t>643828.07.01</t>
  </si>
  <si>
    <t>Муниципальное управление и местное самоупр.: Сл. / А.А.Васильев -  3 изд. - М.:НИЦ ИНФРА-М,2023.-300с(П)</t>
  </si>
  <si>
    <t>МУНИЦИПАЛЬНОЕ УПРАВЛЕНИЕ И МЕСТНОЕ САМОУПРАВЛЕНИЕ, ИЗД.3</t>
  </si>
  <si>
    <t>Васильев А.А.</t>
  </si>
  <si>
    <t>Библиотека словарей ИНФРА-М</t>
  </si>
  <si>
    <t>978-5-16-012425-4</t>
  </si>
  <si>
    <t>Словарь-справочник</t>
  </si>
  <si>
    <t>40.03.01, 40.04.01, 38.04.04, 38.03.04</t>
  </si>
  <si>
    <t>Академия социального управления</t>
  </si>
  <si>
    <t>691867.07.01</t>
  </si>
  <si>
    <t>Налоговые риски в сис. экономич. безоп.: Уч.пос. / В.И.Авдийский - М.:НИЦ ИНФРА-М,2024 - 236 с.(ВО)(П)</t>
  </si>
  <si>
    <t>НАЛОГОВЫЕ РИСКИ В СИСТЕМЕ ЭКОНОМИЧЕСКОЙ БЕЗОПАСНОСТИ</t>
  </si>
  <si>
    <t>Авдийский В.И., Земсков В.В., Соловьев А.И.</t>
  </si>
  <si>
    <t>978-5-16-017125-8</t>
  </si>
  <si>
    <t>38.04.01, 38.05.01, 38.03.01</t>
  </si>
  <si>
    <t>Рекомендовано УМО по образованию в области финансов, учета и мировой экономики в качестве учебного пособия для студентов магистратуры, обучающихся по направлению «Экономика»</t>
  </si>
  <si>
    <t>180500.08.01</t>
  </si>
  <si>
    <t>Научное руководство аспирантами: Практ. пос. / С.Д.Резник. - 2 изд. - М.:НИЦ Инфра-М, 2022 - 477 с. (П)</t>
  </si>
  <si>
    <t>НАУЧНОЕ РУКОВОДСТВО АСПИРАНТАМИ, ИЗД.2</t>
  </si>
  <si>
    <t>978-5-16-005085-0</t>
  </si>
  <si>
    <t>Профессиональное образование / ВО - Кадры высшей квалификации</t>
  </si>
  <si>
    <t>38.06.01, 39.06.01, 40.06.01, 41.06.01, 38.07.02, 39.07.01, 41.07.01</t>
  </si>
  <si>
    <t>Допущено Советом Учебно-методического объединения по образованию в области менеджмента в качестве практического пособия для системы дополнительного образования - повышения квалификации руководящих и научных кадров высших учебных заведений</t>
  </si>
  <si>
    <t>431950.0014.01</t>
  </si>
  <si>
    <t>НИР. Российский журнал управления проектами, 2017, вып. № 2 (19)</t>
  </si>
  <si>
    <t>НИР. РОССИЙСКИЙ ЖУРНАЛ УПРАВЛЕНИЯ ПРОЕКТАМИ, 2017, № 2 (19)</t>
  </si>
  <si>
    <t>38.00.00, 38.03.02</t>
  </si>
  <si>
    <t>474100.04.01</t>
  </si>
  <si>
    <t>Нормирование и экономия матер.затрат: Уч.пос. / К.А.Смирнов-М.:НИЦ ИНФРА-М,2024-153с(ВО:Магистр.)(О)</t>
  </si>
  <si>
    <t>НОРМИРОВАНИЕ И ЭКОНОМИЯ МАТЕРИАЛЬНЫХ ЗАТРАТ</t>
  </si>
  <si>
    <t>Смирнов К.А.</t>
  </si>
  <si>
    <t>978-5-16-011626-6</t>
  </si>
  <si>
    <t>Рекомендовано в ка честве учебного пособия для студентов высших учебных заведений, обучающихся по направлениям подготовки 38.04.01 "Экономика", 38.04.02 "Менеджмент" (квалификация (степень) "магистр")</t>
  </si>
  <si>
    <t>Международный славянский институт</t>
  </si>
  <si>
    <t>661046.03.01</t>
  </si>
  <si>
    <t>Нормотворчество органов госу.и муниц. управ.: Уч.пос. / А.Н.Миронов-М.:НИЦ ИНФРА-М,2020.-201 с.(П)</t>
  </si>
  <si>
    <t>НОРМОТВОРЧЕСТВО ОРГАНОВ ГОСУДАРСТВЕННОГО И МУНИЦИПАЛЬНОГО УПРАВЛЕНИЯ</t>
  </si>
  <si>
    <t>Миронов А.Н., Ушаков С.Н.</t>
  </si>
  <si>
    <t>978-5-16-014055-1</t>
  </si>
  <si>
    <t>40.04.01, 38.04.04, 38.03.04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</si>
  <si>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40.04.01 «Юриспруденция», 38.04.04 «Государственное и муниципальное управление» (квалификация (степень) «магистр»)</t>
  </si>
  <si>
    <t>033180.20.01</t>
  </si>
  <si>
    <t>Общее управление организацией. Теория и практика: Уч. /З.П.Румянцева - М.:ИНФРА-М, 2024 -304с.(ВО) (п)</t>
  </si>
  <si>
    <t>ОБЩЕЕ УПРАВЛЕНИЕ ОРГАНИЗАЦИЕЙ. ТЕОРИЯ И ПРАКТИКА</t>
  </si>
  <si>
    <t>Румянцева З. П.</t>
  </si>
  <si>
    <t>978-5-16-010536-9</t>
  </si>
  <si>
    <t>38.03.01, 38.03.06, 38.03.07, 38.03.02, 38.03.04, 38.03.03</t>
  </si>
  <si>
    <t>Рекомендовано Учебно-методическим объединением вузов РФ по образованию в области менеджмента в качестве учебника для студентов высших учебных заведений, обучающихся по специальности "Менеджмент организации"</t>
  </si>
  <si>
    <t>0101</t>
  </si>
  <si>
    <t>057100.14.01</t>
  </si>
  <si>
    <t>Общий менеджмент: Уч. / А.В.Райченко - М.:ИНФРА-М,2024 - 384 с.(Уч. для прогр. MBA)(п)</t>
  </si>
  <si>
    <t>ОБЩИЙ МЕНЕДЖМЕНТ</t>
  </si>
  <si>
    <t>Райченко А.В.</t>
  </si>
  <si>
    <t>Учебники для программы МВА</t>
  </si>
  <si>
    <t>978-5-16-018919-2</t>
  </si>
  <si>
    <t>15.02.07, 08.02.01, 08.02.04, 40.02.01, 38.02.07, 38.02.01, 38.02.03, 38.04.01, 38.04.02, 38.06.01, 44.03.05</t>
  </si>
  <si>
    <t>104400.16.01</t>
  </si>
  <si>
    <t>Операционный (производст.) менеджмент: Уч.пос. / А.Н.Стерлигова - М.:НИЦ ИНФРА-М,2021-187с.(ВО)(П)</t>
  </si>
  <si>
    <t>ОПЕРАЦИОННЫЙ (ПРОИЗВОДСТВЕННЫЙ) МЕНЕДЖМЕНТ</t>
  </si>
  <si>
    <t>Стерлигова А.Н., Фель А.В.</t>
  </si>
  <si>
    <t>978-5-16-003469-0</t>
  </si>
  <si>
    <t>Рекомендовано Учебно-методическим объединением вузов России по образованию в области менеджмента в качестве учебного пособия по дисциплинам специализации для студентов высших учебных заведений, обучающихся по специальности «Менеджмент организации» и направлению «Менеджмент»</t>
  </si>
  <si>
    <t>061650.14.01</t>
  </si>
  <si>
    <t>Операционный менеджмент: Уч. / С.В.Ильдеменов - М.:НИЦ ИНФРА-М, 2023 - 337 с(Уч.и для программы MBA)(о)</t>
  </si>
  <si>
    <t>ОПЕРАЦИОННЫЙ МЕНЕДЖМЕНТ</t>
  </si>
  <si>
    <t>Ильдеменов С.В., Ильдеменов А.С., Лобов С.В.</t>
  </si>
  <si>
    <t>978-5-16-009611-7</t>
  </si>
  <si>
    <t>38.04.03, 38.03.02, 41.03.06</t>
  </si>
  <si>
    <t>Допущено Министерством образования и науки Российской Федерации в качестве учебного пособия для слушателей образовательных учреждений, обучающихся по программе МВА и другим программам подготовки управленческих кадров</t>
  </si>
  <si>
    <t>108000.12.01</t>
  </si>
  <si>
    <t>Оптимизационные модели упр. инвестиц. в логистике: Уч.пос. / А.В.Мищенко - 3 изд.- М.:НИЦ ИНФРА-М,2024-388 с.(П)</t>
  </si>
  <si>
    <t>ОПТИМИЗАЦИОННЫЕ МОДЕЛИ УПРАВЛЕНИЯ ИНВЕСТИЦИЯМИ В ЛОГИСТИКЕ, ИЗД.3</t>
  </si>
  <si>
    <t>978-5-16-017277-4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</si>
  <si>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 (протокол № 8 от 20.10.2021)</t>
  </si>
  <si>
    <t>410150.04.01</t>
  </si>
  <si>
    <t>Оптимизационные модели упр. фин.ресурсами..: Моногр. /А.В.Мищенко -М.:ИЦ РИОР,НИЦ ИНФРА-М,2019-337с(О)</t>
  </si>
  <si>
    <t>ОПТИМИЗАЦИОННЫЕ МОДЕЛИ УПРАВЛЕНИЯ ФИНАНСОВЫМИ РЕСУРСАМИ ПРЕДПРИЯТИЯ</t>
  </si>
  <si>
    <t>Мищенко А. В., Виноградова Е. В.</t>
  </si>
  <si>
    <t>978-5-369-01152-2</t>
  </si>
  <si>
    <t>38.04.01, 38.04.08, 38.04.02, 38.03.01, 38.03.02, 44.03.01, 41.03.06</t>
  </si>
  <si>
    <t>717652.02.01</t>
  </si>
  <si>
    <t>Оптимизационные модели управ. огранич. ресурс. в логист.: Моногр. / А.В.Мищенко-М.:НИЦ ИНФРА-М,2023.-253 с.(О)</t>
  </si>
  <si>
    <t>ОПТИМИЗАЦИОННЫЕ МОДЕЛИ УПРАВЛЕНИЯ ОГРАНИЧЕННЫМИ РЕСУРСАМИ В ЛОГИСТИКЕ</t>
  </si>
  <si>
    <t>Мищенко А.В., Иванова А.В.</t>
  </si>
  <si>
    <t>978-5-16-016130-3</t>
  </si>
  <si>
    <t>38.00.00, 38.04.01, 38.04.02, 38.06.01, 38.03.01</t>
  </si>
  <si>
    <t>236200.06.01</t>
  </si>
  <si>
    <t>Оптимизация личностных преимуществ: психолог. возмож.: Практ./В.В.Авдеев - КУРС:ИНФРА-М, 2020-208с. (о)</t>
  </si>
  <si>
    <t>ОПТИМИЗАЦИЯ ЛИЧНОСТНЫХ ПРЕИМУЩЕСТВ: ПСИХОЛОГИЧЕСКИЕ ВОЗМОЖНОСТИ</t>
  </si>
  <si>
    <t>Авдеев В. В.</t>
  </si>
  <si>
    <t>978-5-905554-39-1</t>
  </si>
  <si>
    <t>37.03.01, 38.03.01, 38.03.02, 38.03.04, 38.03.03, 39.03.01, 39.03.02</t>
  </si>
  <si>
    <t>409100.03.01</t>
  </si>
  <si>
    <t>Опыт менеджера: Уч. пос. / К.Ховард-М.:НИЦ ИНФРА-М,2016.-224 с-(ВО)(п)</t>
  </si>
  <si>
    <t>ОПЫТ МЕНЕДЖЕРА</t>
  </si>
  <si>
    <t>Ховард К., Коротков Э. М.</t>
  </si>
  <si>
    <t>978-5-16-005641-8</t>
  </si>
  <si>
    <t>38.04.02, 38.03.02, 44.03.01, 41.03.06</t>
  </si>
  <si>
    <t>Допущено Учебно-методическим объединением по образованию в области менеджмента в качестве учебного пособия для направления «Менеджмент»</t>
  </si>
  <si>
    <t>079500.12.01</t>
  </si>
  <si>
    <t>Организац. культура в табл., тестах, кейсах и схемах / Т.О. Соломанидина. -ИНФРА-М, 2024. - 395 с. (п</t>
  </si>
  <si>
    <t>ОРГАНИЗАЦИОННАЯ КУЛЬТУРА В ТАБЛИЦАХ, ТЕСТАХ, КЕЙСАХ И СХЕМАХ</t>
  </si>
  <si>
    <t>Соломанидина Т. О.</t>
  </si>
  <si>
    <t>5-16-002708-4</t>
  </si>
  <si>
    <t>15.02.07, 35.02.12, 08.02.01, 08.02.04, 40.02.01, 38.02.07, 38.02.01, 38.02.03, 38.04.01, 38.04.02, 38.04.03, 38.04.04, 38.03.01, 38.03.02, 38.03.04, 38.03.03, 44.03.01, 44.03.05, 41.03.06</t>
  </si>
  <si>
    <t>487150.04.01</t>
  </si>
  <si>
    <t>Организационная культура рос. студенчества в..: Моногр./С.Д.Резник-НИЦ ИНФРА-М,2020-176с(Науч.мысль)</t>
  </si>
  <si>
    <t>ОРГАНИЗАЦИОННАЯ КУЛЬТУРА РОССИЙСКОГО СТУДЕНЧЕСТВА В УСЛОВИЯХ ИЗМЕНЕНИЙ СОЦИАЛЬНО-ЭКОНОМИЧЕСКОЙ СРЕДЫ</t>
  </si>
  <si>
    <t>Резник С. Д., Черниковская М. В.</t>
  </si>
  <si>
    <t>978-5-16-010355-6</t>
  </si>
  <si>
    <t>38.04.01, 38.04.02, 38.04.03, 38.04.04, 38.06.01</t>
  </si>
  <si>
    <t>454500.05.01</t>
  </si>
  <si>
    <t>Организационная культура: Уч. пос. / А.П.Балашов-М.: Вуз. уч., НИЦ ИНФРА-М,2021.-278 с.(П)</t>
  </si>
  <si>
    <t>ОРГАНИЗАЦИОННАЯ КУЛЬТУРА</t>
  </si>
  <si>
    <t>978-5-9558-0475-0</t>
  </si>
  <si>
    <t>145250.10.01</t>
  </si>
  <si>
    <t>Организационная культура: формирование...: Уч.пос. / О.Г.Тихомирова - М.:НИЦ ИНФРА-М,2022 - 151с(О)</t>
  </si>
  <si>
    <t>ОРГАНИЗАЦИОННАЯ КУЛЬТУРА: ФОРМИРОВАНИЕ, РАЗВИТИЕ И ОЦЕНКА</t>
  </si>
  <si>
    <t>Тихомирова О.Г.</t>
  </si>
  <si>
    <t>978-5-16-004534-4</t>
  </si>
  <si>
    <t>Допущено Советом Учебно-методическим объединением в области менеджмента в качестве учебного пособия для студентов вузов, обучающихся по направлению "Менеджмент"</t>
  </si>
  <si>
    <t>071970.14.01</t>
  </si>
  <si>
    <t>Организационное поведение (практик....): Уч.пос. / С.Д.Резник - 2 изд.- М.:ИНФРА-М Изд.Дом,2023-320 с(ВО)(П)</t>
  </si>
  <si>
    <t>ОРГАНИЗАЦИОННОЕ ПОВЕДЕНИЕ (ПРАКТИКУМ: ДЕЛОВЫЕ ИГРЫ, ТЕСТЫ, КОНКРЕТНЫЕ СИТУАЦИИ), ИЗД.2</t>
  </si>
  <si>
    <t>Резник С. Д., Игошина И. А., Шестернина О. И., Резник С. Д.</t>
  </si>
  <si>
    <t>978-5-16-005000-3</t>
  </si>
  <si>
    <t>37.03.01, 38.04.01, 38.04.02, 38.04.03, 38.04.04, 38.03.01, 38.03.07, 38.03.02, 38.03.04, 38.03.03, 44.03.05, 41.03.06</t>
  </si>
  <si>
    <t>Рекомендовано Учебно-методическим объединением вузов России по образованию  области менеджмента в качестве учебного пособия для студентов высших учебных заведений, обучающихся по направлениям "Менеджмент" и "Управление персоналом"</t>
  </si>
  <si>
    <t>071970.13.01</t>
  </si>
  <si>
    <t>Организационное поведение (практикум....): Уч.пос. / С.Д.Резник - 3 изд. - М.:ИНФРА-М Изд.Дом,2022-320 с(ВО)(П)</t>
  </si>
  <si>
    <t>ОРГАНИЗАЦИОННОЕ ПОВЕДЕНИЕ (ПРАКТИКУМ: ДЕЛОВЫЕ ИГРЫ, ТЕСТЫ, КОНКРЕТНЫЕ СИТУАЦИИ), ИЗД.3</t>
  </si>
  <si>
    <t>0315</t>
  </si>
  <si>
    <t>071970.11.01</t>
  </si>
  <si>
    <t>Организационное поведение (практикум....):Уч.пос. / С.Д.Резник-М.:ИНФРА-М Изд.Дом,2017.-256 с(ВО)(П)</t>
  </si>
  <si>
    <t>ОРГАНИЗАЦИОННОЕ ПОВЕДЕНИЕ (ПРАКТИКУМ: ДЕЛОВЫЕ ИГРЫ, ТЕСТЫ, КОНКРЕТНЫЕ СИТУАЦИИ)</t>
  </si>
  <si>
    <t>Рекомендовано УМО вузов России по образованию в области менеджмента в качестве учебного пособия по специальностям Менеджмент организации , Муниципальное и государственное управление, Управление персоналом</t>
  </si>
  <si>
    <t>057300.10.01</t>
  </si>
  <si>
    <t>Организационное поведение / Л.В. Карташова. - М.: ИНФРА-М, 2022. - 157 с. - (Уч. для MBA) (п)</t>
  </si>
  <si>
    <t>ОРГАНИЗАЦИОННОЕ ПОВЕДЕНИЕ</t>
  </si>
  <si>
    <t>Карташова Л. В.</t>
  </si>
  <si>
    <t>978-5-16-002154-6</t>
  </si>
  <si>
    <t>38.04.02, 38.03.01, 38.03.02, 38.03.03, 44.03.05, 41.03.06</t>
  </si>
  <si>
    <t>097950.11.01</t>
  </si>
  <si>
    <t>Организационное поведение гос. служащих: Уч.пос. / Н.Л.Захаров-М.:НИЦ ИНФРА-М,2023-237с. (ВО)(О)</t>
  </si>
  <si>
    <t>ОРГАНИЗАЦИОННОЕ ПОВЕДЕНИЕ ГОСУДАРСТВЕННЫХ СЛУЖАЩИХ</t>
  </si>
  <si>
    <t>Захаров Н.Л.</t>
  </si>
  <si>
    <t>978-5-16-009613-1</t>
  </si>
  <si>
    <t>38.04.02, 38.04.04, 38.03.02, 38.03.04, 38.03.03, 44.03.05, 41.03.06</t>
  </si>
  <si>
    <t>Допущено Учебно-методическим объединением в области менеджмента в качестве учебного пособия для студентов вузов, обучающихся по направлению "Менеджмент" (080500.62)</t>
  </si>
  <si>
    <t>Российский государственный педагогический университет им. А.И. Герцена</t>
  </si>
  <si>
    <t>147500.09.01</t>
  </si>
  <si>
    <t>Организационное поведение. Новые направ. теории: Уч. пос. / Д.С. Петросян -М.:ИНФРА-М,2024-272с.(ВО) (п)</t>
  </si>
  <si>
    <t>ОРГАНИЗАЦИОННОЕ ПОВЕДЕНИЕ. НОВЫЕ НАПРАВЛЕНИЯ ТЕОРИИ</t>
  </si>
  <si>
    <t>Петросян Д. С., Фаткина Н. Л., Райзберг Б. А.</t>
  </si>
  <si>
    <t>978-5-16-004663-1</t>
  </si>
  <si>
    <t>Институт региональных экономических исследований</t>
  </si>
  <si>
    <t>071970.15.01</t>
  </si>
  <si>
    <t>Организационное поведение. Прак.: Уч.пос. / С.Д.Резник - 4 изд.-М.:НИЦ ИНФРА-М,2024.-333 с.(ВО)(п)</t>
  </si>
  <si>
    <t>ОРГАНИЗАЦИОННОЕ ПОВЕДЕНИЕ, ИЗД.4</t>
  </si>
  <si>
    <t>Резник С.Д., Игошина И.А., Черниковская М.В. и др.</t>
  </si>
  <si>
    <t>978-5-16-018507-1</t>
  </si>
  <si>
    <t>0424</t>
  </si>
  <si>
    <t>369500.05.01</t>
  </si>
  <si>
    <t>Организационное поведение. Практикум: Уч.пос. / Т.П. Хохлова - М.:Магистр, НИЦ ИНФРА-М,2023.-256 с.</t>
  </si>
  <si>
    <t>ОРГАНИЗАЦИОННОЕ ПОВЕДЕНИЕ (ТЕОРИЯ МЕНЕДЖМЕНТА: ОРГАНИЗАЦИОННОЕ ПОВЕДЕНИЕ). ПРАКТИКУМ</t>
  </si>
  <si>
    <t>Хохлова Т.П.</t>
  </si>
  <si>
    <t>978-5-9776-0367-6</t>
  </si>
  <si>
    <t>37.03.01, 38.04.02, 38.04.03, 38.04.04, 38.03.01, 38.03.02, 38.03.04, 38.03.03, 44.03.05, 41.03.06</t>
  </si>
  <si>
    <t>Российский экономический университет им. Г.В. Плеханова, Краснодарский ф-л</t>
  </si>
  <si>
    <t>720816.04.01</t>
  </si>
  <si>
    <t>Организационное поведение: Уч. / Е.С.Балабанова - М.:НИЦ ИНФРА-М,2023 - 592 с.-(ВО)(п)</t>
  </si>
  <si>
    <t>Балабанова Е.С.</t>
  </si>
  <si>
    <t>978-5-16-018939-0</t>
  </si>
  <si>
    <t>56.05.01, 08.03.01, 27.03.02, 38.04.02, 43.04.02, 27.04.03, 38.03.01, 38.03.02, 38.03.03, 44.03.05, 41.03.06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</si>
  <si>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 (протокол № 10 от 15.12.2021)</t>
  </si>
  <si>
    <t>023589.21.01</t>
  </si>
  <si>
    <t>Организационное поведение: Уч. / Л.В. Карташова - 2 изд. - М.: ИНФРА-М, 2023 - 383 с. (п)</t>
  </si>
  <si>
    <t>ОРГАНИЗАЦИОННОЕ ПОВЕДЕНИЕ, ИЗД.2</t>
  </si>
  <si>
    <t>Карташова Л. В., Никонова Т. В., Соломанидина Т. О.</t>
  </si>
  <si>
    <t>978-5-16-003293-1</t>
  </si>
  <si>
    <t>38.02.04, 31.02.04, 38.02.07, 38.02.03, 35.03.02, 06.04.01, 46.04.02, 38.04.01, 38.04.02, 38.04.03, 23.03.01, 17.03.01, 26.03.02, 38.03.01, 38.03.02, 38.03.03, 44.03.01, 41.03.06, 51.03.02</t>
  </si>
  <si>
    <t>Рекомендовано Министерством образования РФ в качестве учебника для студентов высших заведений, обучающихся по специальности и направлению "Менеджмент"</t>
  </si>
  <si>
    <t>284700.07.01</t>
  </si>
  <si>
    <t>Организационное поведение: Уч. / О.К. Минева - М.: Альфа-М:  ИНФРА-М, 2024. - 256 с. (Бакалавриат)(п)</t>
  </si>
  <si>
    <t>978-5-98281-399-2</t>
  </si>
  <si>
    <t>38.04.01, 38.04.02, 38.04.03, 38.04.04, 38.03.01, 38.03.02, 38.03.04, 38.03.03, 44.03.05, 41.03.06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</si>
  <si>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высших учебных заведений, обучающихся п</t>
  </si>
  <si>
    <t>072700.11.01</t>
  </si>
  <si>
    <t>Организационное поведение: Уч. / С.Д.Резник - 4 изд. - М.:НИЦ ИНФРА-М,2020-460 с.(ВО:Бакалавр.)(п)</t>
  </si>
  <si>
    <t>978-5-16-010032-6</t>
  </si>
  <si>
    <t>38.03.01, 38.03.02, 38.03.04, 38.03.03, 44.03.05, 41.03.06</t>
  </si>
  <si>
    <t>Допущено Советом Учебно-методического объединеня вузов России по образованию в области менеджмента в качестве учебника для студентов вузов, обучающихся по направлениям "Менеджмент" и "Управление персоналом"</t>
  </si>
  <si>
    <t>072700.10.01</t>
  </si>
  <si>
    <t>Организационное поведение: Уч. / С.Д.Резник - 5 изд.- М.:НИЦ ИНФРА-М,2018 - 463 с.(ВО:Бакалавр.)(п)</t>
  </si>
  <si>
    <t>ОРГАНИЗАЦИОННОЕ ПОВЕДЕНИЕ, ИЗД.5</t>
  </si>
  <si>
    <t>0518</t>
  </si>
  <si>
    <t>072700.15.01</t>
  </si>
  <si>
    <t>Организационное поведение: Уч. / С.Д.Резник, - 6 изд.-М.:НИЦ ИНФРА-М,2024.- 433 с.(ВО)(п)</t>
  </si>
  <si>
    <t>ОРГАНИЗАЦИОННОЕ ПОВЕДЕНИЕ, ИЗД.6</t>
  </si>
  <si>
    <t>978-5-16-018924-6</t>
  </si>
  <si>
    <t>0621</t>
  </si>
  <si>
    <t>084130.03.01</t>
  </si>
  <si>
    <t>Организационное поведение: Шпаргалка - М.:ИЦ РИОР, НИЦ ИНФРА-М - 122 с.-(Шпаргалка [отрывная])(О)</t>
  </si>
  <si>
    <t>978-5-369-00197-4</t>
  </si>
  <si>
    <t>064800.17.01</t>
  </si>
  <si>
    <t>Организационное проектирование: Уч. / В.А.Баринов - М.:НИЦ ИНФРА-М,2023-384с-(Уч. для программы MBA)</t>
  </si>
  <si>
    <t>ОРГАНИЗАЦИОННОЕ ПРОЕКТИРОВАНИЕ</t>
  </si>
  <si>
    <t>Баринов В.А.</t>
  </si>
  <si>
    <t>978-5-16-010992-3</t>
  </si>
  <si>
    <t>27.04.07, 38.04.01, 38.04.02, 38.03.01, 38.03.02</t>
  </si>
  <si>
    <t>Допущено Министерством образования РФ в качестве учебного пособия для слушателей образовательных учреждений обучающихся по программе MBA и другим программам подготовки управленческих кадров</t>
  </si>
  <si>
    <t>368000.08.01</t>
  </si>
  <si>
    <t>Организационное проектирование: Уч.пос. / Под ред. Петросяна Д.С.-М.:НИЦ ИНФРА-М,2023.-196 с.(П)(ВО)</t>
  </si>
  <si>
    <t>ОРГАНИЗАЦИОННОЕ ПРОЕКТИРОВАНИЕ: РЕОРГАНИЗАЦИЯ,  РЕИНЖИНИРИНГ, ГАРМОНИЗАЦИЯ</t>
  </si>
  <si>
    <t>Лочан С.А., Альбитер Л.М., Семенова Ф.З. и др.</t>
  </si>
  <si>
    <t>978-5-16-011880-2</t>
  </si>
  <si>
    <t>27.04.07, 38.04.01, 38.04.02, 38.04.03, 38.03.01, 38.03.02, 44.03.05</t>
  </si>
  <si>
    <t>Рекомендовано в качестве учебного пособия для студентов высших учебных заведений, обучающихся по УГС 38.00.00 «Экономика и управление» (квалификация (степень) «магистр»)</t>
  </si>
  <si>
    <t>693894.03.01</t>
  </si>
  <si>
    <t>Организация гостиничного дела: обеспеч. безоп.: Уч.пос. / Р.Н.Ушаков-М.:НИЦ ИНФРА-М,2023-136 с.(СПО)</t>
  </si>
  <si>
    <t>ОРГАНИЗАЦИЯ ГОСТИНИЧНОГО ДЕЛА: ОБЕСПЕЧЕНИЕ БЕЗОПАСНОСТИ</t>
  </si>
  <si>
    <t>Ушаков Р.Н., Авилова Н.Л.</t>
  </si>
  <si>
    <t>978-5-16-014473-3</t>
  </si>
  <si>
    <t>43.02.11, 43.03.03, 43.02.14</t>
  </si>
  <si>
    <t>Московская международная академия</t>
  </si>
  <si>
    <t>646488.06.01</t>
  </si>
  <si>
    <t>Организация гостиничного дела: обеспечение безоп.: Уч.пос. / Р.Н.Ушаков-М.:НИЦ ИНФРА-М,2023-136 с.(ВО)(О)</t>
  </si>
  <si>
    <t>978-5-16-012496-4</t>
  </si>
  <si>
    <t>43.00.00, 43.03.01, 43.03.02, 43.03.03</t>
  </si>
  <si>
    <t>Рекомендовано в качестве учебного пособия для студентов высших учебных заведений, обучающихся по направлению подготовки 43.03.03 «Гостиничное дело» (квалификация (степень) «бакалавр»)</t>
  </si>
  <si>
    <t>187550.08.01</t>
  </si>
  <si>
    <t>Организация и планир. деят. предпр. сферы сервиса: Уч.пос. / О.Н.Гукова-М.:Форум, НИЦ ИНФРА-М,2022.-160 с.(ВО)(О)</t>
  </si>
  <si>
    <t>ОРГАНИЗАЦИЯ И ПЛАНИРОВАНИЕ ДЕЯТЕЛЬНОСТИ ПРЕДПРИЯТИЙ СФЕРЫ СЕРВИСА</t>
  </si>
  <si>
    <t>Гукова О.Н.</t>
  </si>
  <si>
    <t>978-5-91134-661-4</t>
  </si>
  <si>
    <t>43.02.02, 43.03.01, 43.02.12, 43.02.13</t>
  </si>
  <si>
    <t>Академия труда и социальных отношений</t>
  </si>
  <si>
    <t>119500.12.01</t>
  </si>
  <si>
    <t>Организация муниципальной службы: Уч. / С.Ю.Кабашов - 2 изд. - М.:НИЦ ИНФРА-М,2022-391 с.(ВО: Бак.)(П)</t>
  </si>
  <si>
    <t>ОРГАНИЗАЦИЯ МУНИЦИПАЛЬНОЙ СЛУЖБЫ, ИЗД.2</t>
  </si>
  <si>
    <t>978-5-16-009314-7</t>
  </si>
  <si>
    <t>46.03.02, 38.04.04, 38.03.04, 44.03.05, 51.03.02</t>
  </si>
  <si>
    <t>Допущено Советом Учебно-методического объединения вузов России по образованию в области менеджмента в качестве учебного пособия по специальности «Государственное и муниципальное управление»</t>
  </si>
  <si>
    <t>703024.04.01</t>
  </si>
  <si>
    <t>Организация общего и спец. делопроизводства..: Уч.пос. / С.Ю.Кабашов-М.:НИЦ ИНФРА-М,2023-421 с.-(СПО)</t>
  </si>
  <si>
    <t>ОРГАНИЗАЦИЯ ОБЩЕГО И СПЕЦИАЛЬНОГО ДЕЛОПРОИЗВОДСТВА В ОРГАНАХ МЕСТНОГО САМОУПРАВЛЕНИЯ</t>
  </si>
  <si>
    <t>978-5-16-014860-1</t>
  </si>
  <si>
    <t>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</si>
  <si>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46.02.01 «Документационное обеспечение управления и архивоведение»</t>
  </si>
  <si>
    <t>186800.07.01</t>
  </si>
  <si>
    <t>Организация общего и специального делопроизвод...: Уч.пос. / С.Ю.Кабашов - М:ИНФРА-М,2024-421с.(п)</t>
  </si>
  <si>
    <t>978-5-16-005372-1</t>
  </si>
  <si>
    <t>46.03.02, 38.03.02, 38.03.04, 38.03.03</t>
  </si>
  <si>
    <t>Допущено УМО вузов РФ по образованию  области историко-архивоведения в качестве уч. пос. для студ. вузов, обуч. по напр. 034700.62 Документоведение и архивоведение и спец. 032001.65 Документоведение и документационное обеспечение управления</t>
  </si>
  <si>
    <t>170150.04.01</t>
  </si>
  <si>
    <t>Организация предпр.деятельности в сфере автосерв.услуг: Уч.пос./В.П.Бычков-НИЦ ИНФРА-М,2016-208с(ВО)</t>
  </si>
  <si>
    <t>ОРГАНИЗАЦИЯ ПРЕДПРИНИМАТЕЛЬСКОЙ ДЕЯТЕЛЬНОСТИ В СФЕРЕ АВТОСЕРВИСНЫХ УСЛУГ</t>
  </si>
  <si>
    <t>Бычков В.П.</t>
  </si>
  <si>
    <t>978-5-16-004861-1</t>
  </si>
  <si>
    <t>38.04.02, 23.04.02, 23.04.03, 23.03.02, 23.03.03, 38.03.02</t>
  </si>
  <si>
    <t>Допущено Учебно-методическим объединением по образованию в области производственного менеджмента в качестве учебного пособия для студентов, обучающихся по специальности  080502 "Экономика и управление на предприятях транспорта"</t>
  </si>
  <si>
    <t>Воронежский государственный лесотехнический университет имени Г.Ф. Морозова</t>
  </si>
  <si>
    <t>081650.17.01</t>
  </si>
  <si>
    <t>Организация произв. на предпр. общ. питания: Уч.пос. / Е.Б.Мрыхина -М:ФОРУМ,ИНФРА-М,2024-176с(СПО)(П)</t>
  </si>
  <si>
    <t>ОРГАНИЗАЦИЯ ПРОИЗВОДСТВА НА ПРЕДПРИЯТИЯХ ОБЩЕСТВЕННОГО ПИТАНИЯ</t>
  </si>
  <si>
    <t>Мрыхина Е. Б.</t>
  </si>
  <si>
    <t>978-5-8199-0858-7</t>
  </si>
  <si>
    <t>38.02.04, 38.02.01, 38.02.03</t>
  </si>
  <si>
    <t>304100.08.01</t>
  </si>
  <si>
    <t>Организация произв. продукции растениеводства с ..: Уч.пос. / Ф.К.Абдразаков-НИЦ ИНФРА-М,2024-112с(о)</t>
  </si>
  <si>
    <t>ОРГАНИЗАЦИЯ ПРОИЗВОДСТВА ПРОДУКЦИИ РАСТЕНИЕВОДСТВА С ПРИМЕНЕНИЕМ РЕСУРСОСБЕРЕГАЮЩИХ ТЕХНОЛОГИЙ</t>
  </si>
  <si>
    <t>Абдразаков Ф.К., Игнатьев Л.М.</t>
  </si>
  <si>
    <t>978-5-16-010233-7</t>
  </si>
  <si>
    <t>35.03.06</t>
  </si>
  <si>
    <t>Саратовский государственный университет генетики, биотехнологии и инженерии имени Н.И. Вавилова</t>
  </si>
  <si>
    <t>436800.07.01</t>
  </si>
  <si>
    <t>Организация производ. и предприним. в АПК: Уч. / М.П.Тушканов -М.:НИЦ ИНФРА-М,2023 - 270 с. (ВО)(п)</t>
  </si>
  <si>
    <t>ОРГАНИЗАЦИЯ ПРОИЗВОДСТВА И ПРЕДПРИНИМАТЕЛЬСТВО В АПК</t>
  </si>
  <si>
    <t>Тушканов М.П., Черевко Л.Д., Винничек Л.Б. и др.</t>
  </si>
  <si>
    <t>978-5-16-011330-2</t>
  </si>
  <si>
    <t>35.03.04</t>
  </si>
  <si>
    <t>Допущено Учебно-методическим объединением вузов Российской Федерации по агрономическому образованию в качестве учебника для подготовки бакалавров по направлению 35.03.04 «Агрономия»</t>
  </si>
  <si>
    <t>719247.05.01</t>
  </si>
  <si>
    <t>Организация производ. и управ. предпр. Уч. / Под ред. Туровеца О.Г. - 3 изд.-М.:НИЦ ИНФРА-М,2024.-506 с.(СПО)(П)</t>
  </si>
  <si>
    <t>ОРГАНИЗАЦИЯ ПРОИЗВОДСТВА И УПРАВЛЕНИЕ ПРЕДПРИЯТИЕМ, ИЗД.3</t>
  </si>
  <si>
    <t>Туровец О.Г., Родионова В.Н., Попов В.Н. и др.</t>
  </si>
  <si>
    <t>978-5-16-015612-5</t>
  </si>
  <si>
    <t>13.02.07, 08.02.01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</si>
  <si>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технических и экономических специальностей (протокол № 5 от 26.03.2020)</t>
  </si>
  <si>
    <t>035200.17.01</t>
  </si>
  <si>
    <t>Организация производ. и управ. предпр.: Уч. / Под ред. Туровец О.Г., - 3 изд.-М.:НИЦ ИНФРА-М,2024.-506 с.(п)</t>
  </si>
  <si>
    <t>978-5-16-019090-7</t>
  </si>
  <si>
    <t>072400.11.01</t>
  </si>
  <si>
    <t>Организация производства на пром. предпр.: Уч.пос. / М.П.Переверзев-НИЦ ИНФРА-М,2023-331с(ВО:Бакалавр.)(П)</t>
  </si>
  <si>
    <t>ОРГАНИЗАЦИЯ ПРОИЗВОДСТВА НА ПРОМЫШЛЕННЫХ ПРЕДПРИЯТИЯХ</t>
  </si>
  <si>
    <t>Переверзев М. П., Логвинов С. И., Логвинов С. С.</t>
  </si>
  <si>
    <t>978-5-16-011210-7</t>
  </si>
  <si>
    <t>35.03.06, 44.03.04</t>
  </si>
  <si>
    <t>Допущено Учебно-методическим объединением по направлениям педагогического образования в качестве учебного пособия для студентов высших учебных заведений, обучающихся по направлению 540500 (050500) Технологическое образование</t>
  </si>
  <si>
    <t>084600.11.01</t>
  </si>
  <si>
    <t>Организация производства на промышл. предпр.: Уч. / И.Н.Иванов-М.:НИЦ ИНФРА-М,2024-352с(ВО: Бак.)(п)</t>
  </si>
  <si>
    <t>Иванов И.Н.</t>
  </si>
  <si>
    <t>978-5-16-003118-7</t>
  </si>
  <si>
    <t>14.03.01, 35.03.02, 38.04.07, 38.04.01, 38.04.06, 38.04.02, 38.04.03, 38.04.04, 38.04.05, 17.03.01, 27.03.04, 38.03.01, 38.03.05, 38.03.06, 38.03.07, 38.03.02, 38.03.04, 38.03.03, 15.02.09</t>
  </si>
  <si>
    <t>Допущено Учебно-методическим объединением вузов России по образованию в области менеджмента в качестве учебного пособия по направлению подготовки 38.03.02 «Менеджмент»</t>
  </si>
  <si>
    <t>343100.08.01</t>
  </si>
  <si>
    <t>Организация производства на транспорте: Уч.пос. / Р.Н.Минько - М.:Вуз.уч., НИЦ ИНФРА-М,2022-160 с.(О)</t>
  </si>
  <si>
    <t>ОРГАНИЗАЦИЯ ПРОИЗВОДСТВА НА ТРАНСПОРТЕ</t>
  </si>
  <si>
    <t>Минько Р.Н.</t>
  </si>
  <si>
    <t>978-5-9558-0423-1</t>
  </si>
  <si>
    <t>23.04.02, 23.04.01, 23.03.01, 23.03.02</t>
  </si>
  <si>
    <t>Рекомендовано УМО РАЕ по классическому университетскому и техническому образованию в качестве учебно-методического пособия для студентов высших учебных заведении, обучающихся по направлению подготовки; 190700 — «Технология транспортных процессов».</t>
  </si>
  <si>
    <t>Самарский государственный университет путей сообщения</t>
  </si>
  <si>
    <t>114800.10.01</t>
  </si>
  <si>
    <t>Организация производства: инновац. страт....: Уч. / М.В. Радиевский - М.:ИНФРА-М, 2023 - 377 с.(ВО)(п)</t>
  </si>
  <si>
    <t>ОРГАНИЗАЦИЯ ПРОИЗВОДСТВА: ИННОВАЦИОННАЯ СТРАТЕГИЯ УСТОЙЧИВОГО РАЗВИТИЯ ПРЕДПРИЯТИЯ</t>
  </si>
  <si>
    <t>Радиевский М. В.</t>
  </si>
  <si>
    <t>978-5-16-018430-2</t>
  </si>
  <si>
    <t>38.03.01, 38.03.02, 15.02.09</t>
  </si>
  <si>
    <t>Допущено Учебно-методическим объединением по образованию в области производственного менеджмента в качестве учебника для студентов вузов, обучающихся по специальностями 080502- Экономика и управление на предприятии (по отраслям)</t>
  </si>
  <si>
    <t>026600.16.01</t>
  </si>
  <si>
    <t>Организация производства: Уч. / Р.А.Фатхутдинов - 3 изд. - М.:НИЦ ИНФРА-М,2023 - 544 с.-(ВО)(П)</t>
  </si>
  <si>
    <t>ОРГАНИЗАЦИЯ ПРОИЗВОДСТВА, ИЗД.3</t>
  </si>
  <si>
    <t>Фатхутдинов Р. А.</t>
  </si>
  <si>
    <t>978-5-16-002832-3</t>
  </si>
  <si>
    <t>Рекомендовано МинОбр РФ в качестве учебника для студентов высших учебных заведений, обучающихся по экономическим и техническим специальностям</t>
  </si>
  <si>
    <t>0307</t>
  </si>
  <si>
    <t>443650.05.01</t>
  </si>
  <si>
    <t>Организация производства: Уч.пос. / В.Д.Сыров - М.:ИЦ РИОР, НИЦ ИНФРА-М,2023 - 283 с.-(ВО:Бакалавр.)(П)</t>
  </si>
  <si>
    <t>ОРГАНИЗАЦИЯ ПРОИЗВОДСТВА</t>
  </si>
  <si>
    <t>Сыров В.Д.</t>
  </si>
  <si>
    <t>978-5-369-01224-6</t>
  </si>
  <si>
    <t>38.03.10, 38.03.01, 38.03.05, 38.03.06, 38.03.02, 38.03.04</t>
  </si>
  <si>
    <t>Рекомендовано в качестве учебного пособия для студентов высших учебных заведений, обучающихся на экономических специальностях и направлениях подготовки</t>
  </si>
  <si>
    <t>Владимирский государственный университет им. А.Г. и Н.Г. Столетовых</t>
  </si>
  <si>
    <t>719409.03.01</t>
  </si>
  <si>
    <t>Организация производства: Уч.пос. / В.Д.Сыров - М.:ИЦ РИОР, НИЦ ИНФРА-М,2023 - 283 с.-(СПО)(П)</t>
  </si>
  <si>
    <t>978-5-369-01824-8</t>
  </si>
  <si>
    <t>13.02.07</t>
  </si>
  <si>
    <t>238900.08.01</t>
  </si>
  <si>
    <t>Организация сельскохоз. производства: Уч. / Под ред. Тушканова М.П., - 2 изд.-М.:НИЦ ИНФРА-М,2023.-423 с.(П)</t>
  </si>
  <si>
    <t>ОРГАНИЗАЦИЯ СЕЛЬСКОХОЗЯЙСТВЕННОГО ПРОИЗВОДСТВА, ИЗД.2</t>
  </si>
  <si>
    <t>Ариничев В.Н., Балашова С.А., Водянников В.Т. и др.</t>
  </si>
  <si>
    <t>978-5-16-015728-3</t>
  </si>
  <si>
    <t>38.04.02, 35.06.01, 38.03.02</t>
  </si>
  <si>
    <t>Рекомендовано Межрегиональным учебно-методическим советом профессионального образования в качестве учебника для студентов сельскохозяйственных высших учебных заведений, обучающихся по направлению подготовки 38.03.02 «Менеджмент» (квалификация (степень) «бакалавр») (протокол № 10 от 12.10.2020)</t>
  </si>
  <si>
    <t>695078.03.01</t>
  </si>
  <si>
    <t>Организация сельскохоз. производства: Уч. / Под ред. Тушканова М.П.-М.:НИЦ ИНФРА-М,2022-292 с.(СПО)(П)</t>
  </si>
  <si>
    <t>ОРГАНИЗАЦИЯ СЕЛЬСКОХОЗЯЙСТВЕННОГО ПРОИЗВОДСТВА</t>
  </si>
  <si>
    <t>Тушканов М.П., Грядов С.И., Пастухов А.К. и др.</t>
  </si>
  <si>
    <t>978-5-16-014538-9</t>
  </si>
  <si>
    <t>35.02.05, 35.02.07, 35.02.08, 35.02.06, 35.02.16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</si>
  <si>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35.02.00 «Сельское хозяйство»</t>
  </si>
  <si>
    <t>238900.04.01</t>
  </si>
  <si>
    <t>Организация сельскохоз. производства: Уч. / С.И.Грядов -М.:НИЦ ИНФРА-М,2019.-292 с.(ВО: Бакалавриат)</t>
  </si>
  <si>
    <t>978-5-16-009209-6</t>
  </si>
  <si>
    <t>Допущено УМО по образованию в области производственного менеджмента в качестве учебника для студентов, обучающихся по направлению подготовки 38.03.02 «Менеджмент» (профиль «Производственный менеджмент»)</t>
  </si>
  <si>
    <t>409900.08.01</t>
  </si>
  <si>
    <t>Организация создания инноваций: горизонт..: Моногр./ Б.З.Мильнер-М:НИЦ ИНФРА-М,2024-288с.(Науч.мысль) (п)</t>
  </si>
  <si>
    <t>ОРГАНИЗАЦИЯ СОЗДАНИЯ ИННОВАЦИЙ: ГОРИЗОНТАЛЬНЫЕ СВЯЗИ И УПРАВЛЕНИЕ</t>
  </si>
  <si>
    <t>Мильнер Б. З., Орлова Т. М.</t>
  </si>
  <si>
    <t>978-5-16-006175-7</t>
  </si>
  <si>
    <t>27.03.05, 27.04.07, 38.04.02, 27.04.06, 38.03.01, 38.03.02, 41.03.06</t>
  </si>
  <si>
    <t>654628.05.01</t>
  </si>
  <si>
    <t>Организация территориальн. обществ. самоупр.: Уч.пос. / А.А.Гребенникова-М:НИЦ ИНФРА-М,2023-142с(ВО)</t>
  </si>
  <si>
    <t>ОРГАНИЗАЦИЯ ТЕРРИТОРИАЛЬНОГО ОБЩЕСТВЕННОГО САМОУПРАВЛЕНИЯ</t>
  </si>
  <si>
    <t>Гребенникова А.А.</t>
  </si>
  <si>
    <t>978-5-16-013012-5</t>
  </si>
  <si>
    <t>38.03.04</t>
  </si>
  <si>
    <t>Рекомендовано в качестве учебного пособия для студентов высших учебных заведений, обучающихся по направлениям подготовки 38.03.04 «Государственное и муниципальное управление», 38.03.02 «Менеджмент» (квалификация (степень) «бакалавр»)</t>
  </si>
  <si>
    <t>Российская академия народного хозяйства и государственной службы при Президенте РФ, ф-л Поволжский институт управления имени П.А.Столыпина</t>
  </si>
  <si>
    <t>273700.07.01</t>
  </si>
  <si>
    <t>Организация труда гос. и муниципал служащих: Уч.пос. / С.П.Анзорова-М.:НИЦ ИНФРА-М,2023.-160 с.(ВО)</t>
  </si>
  <si>
    <t>ОРГАНИЗАЦИЯ ТРУДА ГОСУДАРСТВЕННЫХ И МУНИЦИПАЛЬНЫХ СЛУЖАЩИХ</t>
  </si>
  <si>
    <t>Анзорова С. П., Федорчукова С. Г.</t>
  </si>
  <si>
    <t>978-5-16-016369-7</t>
  </si>
  <si>
    <t>38.03.01, 38.03.04, 38.03.03, 41.03.06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</si>
  <si>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38.03.04 "Государственное и муниципальное управление" (квалификация (степень) "бакалавр")</t>
  </si>
  <si>
    <t>Московский педагогический государственный университет</t>
  </si>
  <si>
    <t>419800.06.01</t>
  </si>
  <si>
    <t>Организация туристской деят. Упр. турфирм.: Уч.пос. / С.А.Быстров-М.:Форум:ИНФРА-М,2023-400с.(ВО)(п)</t>
  </si>
  <si>
    <t>ОРГАНИЗАЦИЯ ТУРИСТСКОЙ ДЕЯТЕЛЬНОСТИ. УПРАВЛЕНИЕ ТУРФИРМОЙ</t>
  </si>
  <si>
    <t>Быстров С.А.</t>
  </si>
  <si>
    <t>978-5-91134-609-6</t>
  </si>
  <si>
    <t>684807.02.01</t>
  </si>
  <si>
    <t>Организация туристской деятельности...: Уч.пос. / С.А.Быстров-М.:Форум, НИЦ ИНФРА-М,2021.-399 с.(П)</t>
  </si>
  <si>
    <t>978-5-00091-589-9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</si>
  <si>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специальности 43.02.10 «Туризм» (протокол № 9 от 28.09.2020)</t>
  </si>
  <si>
    <t>129750.13.01</t>
  </si>
  <si>
    <t>Организация энергосбережения (энергоменеджмент): Уч.пос. / В.В.Кондратьев-М.:НИЦ ИНФРА-М,2024-108с.(О)</t>
  </si>
  <si>
    <t>ОРГАНИЗАЦИЯ ЭНЕРГОСБЕРЕЖЕНИЯ (ЭНЕРГОМЕНЕДЖМЕНТ). РЕШЕНИЯ ЗСМК-НКМК-НТМК-ЕВРАЗ</t>
  </si>
  <si>
    <t>Кондратьев В. В.</t>
  </si>
  <si>
    <t>978-5-16-009612-4</t>
  </si>
  <si>
    <t>106000.14.01</t>
  </si>
  <si>
    <t>Организация, планир. и проект. производства. Операц. менеджмент / Н. Слак. -ИНФРА-М, 2024. - 790 с. (п)</t>
  </si>
  <si>
    <t>ОРГАНИЗАЦИЯ, ПЛАНИРОВАНИЕ И ПРОЕКТИРОВАНИЕ ПРОИЗВОДСТВА. ОПЕРАЦИОННЫЙ МЕНЕДЖМЕНТ, ИЗД.5</t>
  </si>
  <si>
    <t>Слак Н., Чемберс С., Джонстон Р.</t>
  </si>
  <si>
    <t>978-5-16-003585-7</t>
  </si>
  <si>
    <t>0509</t>
  </si>
  <si>
    <t>438900.05.01</t>
  </si>
  <si>
    <t>Основы гос. и муниц. управления: Уч.пос. / О.Б.Угурчиев - М.:ИЦ РИОР,НИЦ ИНФРА-М,2023-378с(ВО:Бакалавр.)</t>
  </si>
  <si>
    <t>ОСНОВЫ ГОСУДАРСТВЕННОГО И МУНИЦИПАЛЬНОГО УПРАВЛЕНИЯ</t>
  </si>
  <si>
    <t>О.Б.Угурчиев, Р.О.Угурчиева</t>
  </si>
  <si>
    <t>978-5-369-01473-8</t>
  </si>
  <si>
    <t>Допущено Советом Учебно-методического объединения по образованию в области менеджмента в качестве учебного пособия для студентов высшего образования,обучающихся по направлению подготовки «Государственное и муниципальное управление» (квалификация (степень) «бакалавр»)</t>
  </si>
  <si>
    <t>Ингушский государственный университет</t>
  </si>
  <si>
    <t>267300.07.01</t>
  </si>
  <si>
    <t>Основы гос. и муниципального управления: Уч. / В.Е.Чиркин - М.:Юр.Норма, НИЦ ИНФРА-М,2022 - 384 с.(П)</t>
  </si>
  <si>
    <t>Чиркин В. Е.</t>
  </si>
  <si>
    <t>978-5-91768-471-0</t>
  </si>
  <si>
    <t>38.03.04, 44.03.05</t>
  </si>
  <si>
    <t>Рекомендовано Советом УМО по образованию в области менеджмента в качестве учебника для студентов вузов, обучающихся по направлению подготовки «Государственное и муниципальное управление» (квалификация (степень) «бакалавр»)</t>
  </si>
  <si>
    <t>256700.12.01</t>
  </si>
  <si>
    <t>Основы делопроизводства: уч.пос. / А.М.Асалиев и др., - 2-е изд., испр. и доп.-М.:НИЦ ИНФРА-М,2024.-146 с..-(ВО)(п)</t>
  </si>
  <si>
    <t>ОСНОВЫ ДЕЛОПРОИЗВОДСТВА, ИЗД.2</t>
  </si>
  <si>
    <t>Асалиев А.М., Миронова И.И., Косарева Е.А. и др.</t>
  </si>
  <si>
    <t>978-5-16-019135-5</t>
  </si>
  <si>
    <t>38.03.01, 38.03.05, 38.03.06, 38.03.07, 38.03.02, 38.03.04, 38.03.03</t>
  </si>
  <si>
    <t>Рекомендовано Учебно-методическим объединением вузов России по образованию в области экономики и экономической теории, национальной экономики и экономики труда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</t>
  </si>
  <si>
    <t>234400.04.01</t>
  </si>
  <si>
    <t>Основы диссертационного менеджмента: Уч. / С.Д.Резник - 3 изд. - М.:НИЦ ИНФРА-М,2018 - 289 с.(ВО)(П)</t>
  </si>
  <si>
    <t>ОСНОВЫ ДИССЕРТАЦИОННОГО МЕНЕДЖМЕНТА, ИЗД.2</t>
  </si>
  <si>
    <t>978-5-16-009134-1</t>
  </si>
  <si>
    <t>00.05.16, 00.04.16, 00.06.01</t>
  </si>
  <si>
    <t>Рекомендовано Советом учебно-методического объединения вузов России по образованию в области менеджмента в качестве учебника для студентов, обучающихся по экономическим и управленческим направлениям магистратуры и аспирантуры высших учебных заведений</t>
  </si>
  <si>
    <t>234400.07.01</t>
  </si>
  <si>
    <t>Основы диссертационного менеджмента: Уч. / С.Д.Резник, - 4-е изд.-М.:НИЦ ИНФРА-М,2023.-284 с.(ВО)(п)</t>
  </si>
  <si>
    <t>ОСНОВЫ ДИССЕРТАЦИОННОГО МЕНЕДЖМЕНТА, ИЗД.4</t>
  </si>
  <si>
    <t>978-5-16-017903-2</t>
  </si>
  <si>
    <t>Рекомендовано Советом учебно-методического объединения вузов России по образованию в области менеджмента в качестве учебника для студентов, обучающихся по экономическим и управленческим направлениям подготовки магистратуры и аспирантуры высших учебных заведений</t>
  </si>
  <si>
    <t>234400.06.01</t>
  </si>
  <si>
    <t>Основы диссертационного менеджмента: Уч. /С.Д.Резник - 3 изд.-М.:НИЦ ИНФРА-М,2021.-289 с.(ВО)(П)</t>
  </si>
  <si>
    <t>ОСНОВЫ ДИССЕРТАЦИОННОГО МЕНЕДЖМЕНТА, ИЗД.3</t>
  </si>
  <si>
    <t>676794.02.01</t>
  </si>
  <si>
    <t>Основы корпоративных финансов: Уч.пос. / А.Ю.Рыманов - М.:НИЦ ИНФРА-М,2018 - 150 с.-(ВО)(О)</t>
  </si>
  <si>
    <t>ОСНОВЫ КОРПОРАТИВНЫХ ФИНАНСОВ</t>
  </si>
  <si>
    <t>978-5-16-013614-1</t>
  </si>
  <si>
    <t>38.04.01, 38.04.08, 38.04.02, 38.03.01, 38.03.02, 44.03.05</t>
  </si>
  <si>
    <t>473750.05.01</t>
  </si>
  <si>
    <t>Основы кросс-культурной коммуник. и менед.: Практ.курс: Уч.пос. / Л.М.Гальчук-М.:Вуз. уч.:НИЦ ИНФРА-М, 2023- 240с.(п)</t>
  </si>
  <si>
    <t>ОСНОВЫ КРОСС-КУЛЬТУРНОЙ КОММУНИКАЦИИ И МЕНЕДЖМЕНТА: ПРАКТИЧЕСКИЙ КУРС=ESSENTIALS OF CROSS-CULTURALCOMMUNICATION AND MANAGMENY: A PRACTICAL COURSE</t>
  </si>
  <si>
    <t>Гальчук Л.М.</t>
  </si>
  <si>
    <t>978-5-9558-0387-6</t>
  </si>
  <si>
    <t>41.03.04, 42.03.02, 42.03.01, 41.03.05, 43.03.01, 43.03.02, 43.03.03, 42.04.01, 45.04.04, 05.04.05, 41.04.04, 42.04.02, 41.04.05, 45.04.02, 51.04.01, 41.04.01, 45.04.03, 38.04.02, 43.04.01, 43.04.02, 43.04.03, 25.03.03, 38.03.02, 44.03.05, 45.03.02, 41.03.01, 45.03.03, 45.03.04, 51.03.01, 41.03.06</t>
  </si>
  <si>
    <t>240600.05.01</t>
  </si>
  <si>
    <t>Основы личной конкурентоспособности менеджера: Уч. пос. / С.Д.Резник - М.: ИНФРА-М, 2022 - 224 с. (ВО) (п)</t>
  </si>
  <si>
    <t>ОСНОВЫ ЛИЧНОЙ КОНКУРЕНТОСПОСОБНОСТИ МЕНЕДЖЕРА, ИЗД.2</t>
  </si>
  <si>
    <t>Резник С. Д., Сочилова А. А., Резник С. Д.</t>
  </si>
  <si>
    <t>978-5-16-009241-6</t>
  </si>
  <si>
    <t>Рекомендовано Учебно-методическим объединением вузов России по образованию в области менеджмента в качестве учебного пособия по направлению «Менеджмент»</t>
  </si>
  <si>
    <t>115300.09.01</t>
  </si>
  <si>
    <t>Основы личной конкурентоспособности: Уч. пос./ С.Д. Резник, А.А. Сочилова.-ИНФРА-М, 2022.-251с.(ВО) (п)</t>
  </si>
  <si>
    <t>ОСНОВЫ ЛИЧНОЙ КОНКУРЕНТОСПОСОБНОСТИ, ИЗД.3</t>
  </si>
  <si>
    <t>978-5-16-003702-8</t>
  </si>
  <si>
    <t>37.03.01, 37.04.01, 38.03.02, 44.03.01, 45.03.02, 39.03.03</t>
  </si>
  <si>
    <t>Рекомендовано УМО вузов России по образованию в области менеджмента в качестве учебного пособия по экономическим и управленческим специальностям</t>
  </si>
  <si>
    <t>095260.09.01</t>
  </si>
  <si>
    <t>Основы логистики: Уч.пос. / Б.И.Герасимов - 2 изд. - М.:Форум, НИЦ ИНФРА-М,2023 - 304 с.-(СПО)(о)</t>
  </si>
  <si>
    <t>ОСНОВЫ ЛОГИСТИКИ, ИЗД.2</t>
  </si>
  <si>
    <t>Герасимов Б. И., Жариков В. В., Жариков В. Д.</t>
  </si>
  <si>
    <t>978-5-91134-909-7</t>
  </si>
  <si>
    <t>Рекомендовано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</si>
  <si>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Тамбовский государственный технический университет</t>
  </si>
  <si>
    <t>188800.04.01</t>
  </si>
  <si>
    <t>Основы менеджмента, планирования и..: Уч.пос. / С.А.Баронин - М.: НИЦ ИНФРА-М, 2017-160с.(ВО) (п)</t>
  </si>
  <si>
    <t>ОСНОВЫ МЕНЕДЖМЕНТА, ПЛАНИРОВАНИЯ И КОНТРОЛЛИНГА В НЕДВИЖИМОСТИ</t>
  </si>
  <si>
    <t>Баронин С.А.</t>
  </si>
  <si>
    <t>978-5-16-005539-8</t>
  </si>
  <si>
    <t>15.02.07, 08.02.01, 08.02.04, 40.02.01, 38.02.07, 38.02.01, 38.02.03, 08.03.01, 38.04.01, 38.04.02, 38.03.01, 38.03.02, 44.03.05</t>
  </si>
  <si>
    <t>Рекомендовано Учебно-методическим объединением вузов РФ по образованию в области строительства в качестве учебного пособия для студентов, обучающихся по специальности 270115 «Экспертиза и управление недвижимостью», направления 270100 «Строительство»</t>
  </si>
  <si>
    <t>361100.09.01</t>
  </si>
  <si>
    <t>Основы менеджмента: Уч. / А.П.Егоршин, - 3 изд.-М.:НИЦ ИНФРА-М,2024.-350 с.(ВО)(п)</t>
  </si>
  <si>
    <t>ОСНОВЫ МЕНЕДЖМЕНТА, ИЗД.3</t>
  </si>
  <si>
    <t>Егоршин А.П.</t>
  </si>
  <si>
    <t>978-5-16-019171-3</t>
  </si>
  <si>
    <t>35.02.12, 38.03.01, 38.03.02, 38.03.03, 41.03.06</t>
  </si>
  <si>
    <t>Рекомендовано Советом Учебно-методического объединения вузов России по образованию в области менеджмента в качестве учебника по направлениям 38.03.02 «Менеджмент» и 38.03.03 «Управление персоналом»</t>
  </si>
  <si>
    <t>086670.13.01</t>
  </si>
  <si>
    <t>Основы менеджмента: Уч.пос. / А.П. Балашов. - 2 изд. - М.: Вуз. уч.: ИНФРА-М,2024 - 288с. (п)</t>
  </si>
  <si>
    <t>ОСНОВЫ МЕНЕДЖМЕНТА, ИЗД.2</t>
  </si>
  <si>
    <t>Балашов А. П.</t>
  </si>
  <si>
    <t>978-5-9558-0267-1</t>
  </si>
  <si>
    <t>38.03.10, 38.03.01, 38.03.06, 38.03.07, 38.03.02</t>
  </si>
  <si>
    <t>Рекомендовано Учебно-методическим объединением по образованию в области производственного менеджмента в качестве учебного пособия для студентов высших учебных заведений, обучающихся по специальности 080502 "Экономика и управление на предприятии»</t>
  </si>
  <si>
    <t>094540.10.01</t>
  </si>
  <si>
    <t>Основы менеджмента: Уч.пос. / В.И.Королев - М.:Магистр, НИЦ ИНФРА-М,2024-624с.(Бакалавриат)(П)</t>
  </si>
  <si>
    <t>ОСНОВЫ МЕНЕДЖМЕНТА</t>
  </si>
  <si>
    <t>Королев В.И.</t>
  </si>
  <si>
    <t>978-5-9776-0040-8</t>
  </si>
  <si>
    <t>38.00.00, 15.02.07, 35.02.12, 08.02.01, 08.02.04, 40.02.01, 38.02.07, 38.02.01, 38.02.03, 38.03.02, 44.03.05</t>
  </si>
  <si>
    <t>Допущено Советом Учебно-методического объединения вузов России по образованию в области менеджмента в качестве учебного пособия для студентов, проходящих обучение по направлению "Менеджмент"</t>
  </si>
  <si>
    <t>815345.01.01</t>
  </si>
  <si>
    <t>Основы менеджмента: Уч.пос. / Я.Ю.Радюкова и др.-М.:НИЦ ИНФРА-М,2024.-297 с.(СПО)(п)</t>
  </si>
  <si>
    <t>Радюкова Я.Ю., Беспалов М.В., Абдукаримов В.И. и др.</t>
  </si>
  <si>
    <t>978-5-16-019219-2</t>
  </si>
  <si>
    <t>35.02.12, 29.02.01, 08.02.01, 08.02.02, 42.03.01, 20.03.01</t>
  </si>
  <si>
    <t>Тамбовский государственный университет им. Г.Р. Державина</t>
  </si>
  <si>
    <t>ПО2</t>
  </si>
  <si>
    <t>646265.05.01</t>
  </si>
  <si>
    <t>Основы менеджмента: Уч.пос. / Я.Ю.Радюкова.-М.:НИЦ ИНФРА-М,2024.-297 с.(ВО)(п)</t>
  </si>
  <si>
    <t>978-5-16-018795-2</t>
  </si>
  <si>
    <t>43.02.06, 43.02.04, 38.02.04, 43.02.11, 21.02.07, 21.02.16, 22.02.02, 22.02.05, 22.02.06, 22.02.07, 15.02.05, 25.02.04, 25.02.01, 26.02.04, 12.02.03, 11.02.13, 11.02.05, 11.02.12, 27.02.04, 15.02.07, 09.02.02, 09.02.05, 18.02.04, 35.02.12, 08.02.01, 08.02.02, 08.02.04, 08.02.05, 08.02.07, 08.02.08, 40.02.01, 42.02.01, 46.02.01, 39.02.02, 49.02.02, 54.02.01, 38.02.06, 38.02.07, 38.02.01, 38.02.02, 38.02.03, 10.02.02, 10.02.03, 10.02.01</t>
  </si>
  <si>
    <t>Рекомендовано в качестве учебного пособия для студентов высших учебных заведений, обучающихся по направлениям подготовки 38.03.02 «Менеджмент», 38.03.01 «Экономика» (квалификация (степень) «бакалавр»)</t>
  </si>
  <si>
    <t>099800.07.01</t>
  </si>
  <si>
    <t>Основы организации муниципального упр.: Уч.пос. / С.Ю.Наумов-2 изд.-М.:Форум,НИЦ ИНФРА-М,2023-375с.(ВО)(П)</t>
  </si>
  <si>
    <t>ОСНОВЫ ОРГАНИЗАЦИИ МУНИЦИПАЛЬНОГО УПРАВЛЕНИЯ, ИЗД.2</t>
  </si>
  <si>
    <t>Наумов С.Ю., Ведяева Е.С., Гребенникова А.А.</t>
  </si>
  <si>
    <t>978-5-00091-681-0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</si>
  <si>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38.03.04 «Государственное и муниципальное управление» (квалификация (степень) «бакалавр») (протокол № 13 от 16.09.2019)</t>
  </si>
  <si>
    <t>Саратовский государственный технический университет им. Гагарина Ю.А.</t>
  </si>
  <si>
    <t>723018.01.01</t>
  </si>
  <si>
    <t>Основы организации труда в цифровых экосистемах: Уч.пос. / Е.А.Савельева-М.:НИЦ ИНФРА-М,2023-297с.(ВО)(п)</t>
  </si>
  <si>
    <t>ОСНОВЫ ОРГАНИЗАЦИИ ТРУДА В ЦИФРОВЫХ ЭКОСИСТЕМАХ</t>
  </si>
  <si>
    <t>978-5-16-015860-0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</si>
  <si>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38.03.02 «Менеджмент, 38.03.03 «Управление персоналом» (квалификация (степень) «бакалавр») (протокол № 6 от 08.06.2022)</t>
  </si>
  <si>
    <t>Научно-исследовательский институт труда и социального развития</t>
  </si>
  <si>
    <t>653165.05.01</t>
  </si>
  <si>
    <t>Основы разработки управ. решения: Уч.пос. / А.В.Барышев-М.:НИЦ ИНФРА-М,2023.-164 с.(ВО)(П)</t>
  </si>
  <si>
    <t>ОСНОВЫ РАЗРАБОТКИ УПРАВЛЕНЧЕСКОГО РЕШЕНИЯ</t>
  </si>
  <si>
    <t>Барышев А.В.</t>
  </si>
  <si>
    <t>978-5-16-017919-3</t>
  </si>
  <si>
    <t>38.03.02, 38.03.04, 38.03.03</t>
  </si>
  <si>
    <t>Рекомендовано в качестве учебного пособия для студентов  высших учебных заведений, обучающихся по направлениям подготовки 38.03.02 «Менеджмент», 38.03.04 «Государственное и муниципальное управление» (квалификация (степень) «бакалавр»)</t>
  </si>
  <si>
    <t>Российский новый университет</t>
  </si>
  <si>
    <t>174100.11.01</t>
  </si>
  <si>
    <t>Основы самоменеджмента: Уч. / И.И.Исаченко - М.:НИЦ ИНФРА-М,2023-312с.(ВО)(П)</t>
  </si>
  <si>
    <t>ОСНОВЫ САМОМЕНЕДЖМЕНТА</t>
  </si>
  <si>
    <t>Исаченко И.И.</t>
  </si>
  <si>
    <t>978-5-16-005304-2</t>
  </si>
  <si>
    <t>15.02.07, 08.02.01, 08.02.04, 40.02.01, 38.02.07, 38.02.01, 38.02.03, 07.03.03, 35.03.03, 27.03.02, 29.03.02, 19.03.04, 38.04.01, 38.04.02, 38.04.04, 23.03.01, 35.03.09, 38.03.02, 38.03.04, 44.03.05, 45.03.01, 35.03.04, 45.03.03, 51.03.01</t>
  </si>
  <si>
    <t>Рекомендовано ФГБОУ ВПО «Государственный университет управления» в качестве учебника для студентов высших учебных заведений, обучающихся по направлению подготовки 38.03.02 «Менеджмент» (квалификация (степень) «бакалавр»)</t>
  </si>
  <si>
    <t>477550.05.01</t>
  </si>
  <si>
    <t>Основы социально-экономического управл. в произв.: Уч. пос. /А.В.Беляева -РИОР:ИНФРА-М,2022-60с.(ВО)</t>
  </si>
  <si>
    <t>ОСНОВЫ СОЦИАЛЬНО-ЭКОНОМИЧЕСКОГО УПРАВЛЕНИЯ В ПРОИЗВОДСТВЕ</t>
  </si>
  <si>
    <t>Беляева А. В., Федоров В. К., Черкасов М. Н.</t>
  </si>
  <si>
    <t>978-5-369-01387-8</t>
  </si>
  <si>
    <t>658774.02.01</t>
  </si>
  <si>
    <t>Основы социологии кадровой безопасности: Уч.пос. / М.Н.Вражнова-М.:НИЦ ИНФРА-М,2023.-261 с.(ВО)(П)</t>
  </si>
  <si>
    <t>ОСНОВЫ СОЦИОЛОГИИ КАДРОВОЙ БЕЗОПАСНОСТИ</t>
  </si>
  <si>
    <t>Вражнова М.Н., Терновая Л.О.</t>
  </si>
  <si>
    <t>978-5-16-014178-7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</si>
  <si>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38.03.03 «Управление персоналом», 38.03.02 «Менеджмент» (квалификация (степень) «бакалавр») (протокол № 6 от 25.03.2019)</t>
  </si>
  <si>
    <t>Московский автомобильно-дорожный государственный технический университет</t>
  </si>
  <si>
    <t>323100.06.01</t>
  </si>
  <si>
    <t>Основы теории управления: Уч.пос. / А.П.Балашов-М.:Вуз. уч., НИЦ ИНФРА-М,2023.-280 с.(П)</t>
  </si>
  <si>
    <t>ОСНОВЫ ТЕОРИИ УПРАВЛЕНИЯ</t>
  </si>
  <si>
    <t>978-5-9558-0410-1</t>
  </si>
  <si>
    <t>38.02.04, 31.02.04, 38.02.07, 38.02.03, 38.03.01, 38.03.03, 44.03.01, 41.03.06</t>
  </si>
  <si>
    <t>Рекомендовано Советом Учебно-методического объединения по образованию в области менеджмента в качестве учебного пособия для студентов, обучающихся по направлению подготовки 38.03.03 (080400.62) "Управление персоналом» (квалификация/степень) «бакалавр</t>
  </si>
  <si>
    <t>654792.01.01</t>
  </si>
  <si>
    <t>Основы управления городом: Уч.пос. / С.Ю.Наумов.-М.:НИЦ ИНФРА-М,2023.-326 с.(ВО: Бакалавр.)(П)</t>
  </si>
  <si>
    <t>ОСНОВЫ УПРАВЛЕНИЯ ГОРОДОМ</t>
  </si>
  <si>
    <t>Наумов С.Ю., Ведяева Е.С., Гребенникова А.А. и др.</t>
  </si>
  <si>
    <t>978-5-16-017005-3</t>
  </si>
  <si>
    <t>034950.22.01</t>
  </si>
  <si>
    <t>Основы управления персоналом: Уч. / А.Я.Кибанов, - 3-е изд.-М.:НИЦ ИНФРА-М,2024.-440 с..-(ВО)(п)</t>
  </si>
  <si>
    <t>ОСНОВЫ УПРАВЛЕНИЯ ПЕРСОНАЛОМ, ИЗД.3</t>
  </si>
  <si>
    <t>Кибанов А. Я.</t>
  </si>
  <si>
    <t>978-5-16-018872-0</t>
  </si>
  <si>
    <t>38.02.04, 31.02.04, 38.02.07, 38.02.03, 14.03.01, 35.03.02, 38.04.09, 10.04.01, 38.04.07, 25.04.03, 25.04.04, 38.04.01, 38.04.08, 38.04.06, 38.04.02, 38.04.03, 38.04.04, 38.04.05, 43.04.03, 35.04.06, 38.05.01, 38.05.02, 23.03.01, 17.03.01, 26.03.02, 29.03.03, 38.03.01, 38.03.05, 38.03.06, 38.03.07, 38.03.02, 38.03.04, 38.03.03, 44.03.01, 41.03.06, 51.03.02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</si>
  <si>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направлению подготовки 080400.62 «Управление персоналом», 081100.62 «Государственное и муниципальное управление» (квалификация (степень) «бакалавр»)</t>
  </si>
  <si>
    <t>077500.12.01</t>
  </si>
  <si>
    <t>Основы управления персоналом: Уч.пос. / А.П.Егоршин, - 4 изд.-М.:НИЦ ИНФРА-М,2024.-352 с.(ВО)(п)</t>
  </si>
  <si>
    <t>ОСНОВЫ УПРАВЛЕНИЯ ПЕРСОНАЛОМ, ИЗД.4</t>
  </si>
  <si>
    <t>978-5-16-019381-6</t>
  </si>
  <si>
    <t>38.02.04, 31.02.04, 38.02.07, 38.02.03, 38.04.02, 38.04.03, 38.04.04, 43.04.03, 38.03.01, 38.03.02, 38.03.04, 38.03.03, 44.03.01, 41.03.06, 51.03.02</t>
  </si>
  <si>
    <t>Допущено Министерством образования РФ в качестве учебного пособия для студентов высших учебных заведений, обучающихся по специальности "Управление персоналом"</t>
  </si>
  <si>
    <t>118600.09.01</t>
  </si>
  <si>
    <t>Основы управления персоналом: Уч.пос. / Л.В.Максимова- 2 изд. - М.:НИЦ ИНФРА-М,2024 - 248 с.(ВО)(п)</t>
  </si>
  <si>
    <t>ОСНОВЫ УПРАВЛЕНИЯ ПЕРСОНАЛОМ, ИЗД.2</t>
  </si>
  <si>
    <t>Максимова Л.В.</t>
  </si>
  <si>
    <t>978-5-16-019429-5</t>
  </si>
  <si>
    <t>38.02.04, 31.02.04, 38.02.07, 38.02.03, 38.03.01, 38.03.02, 38.03.03, 44.03.01, 41.03.06</t>
  </si>
  <si>
    <t>Рекомендовано кафедрой управления персоналом и экономики труда Школы экономики и менеджмента федерального государственного автономного образовательного учреждения высшего образования «Дальневосточный федеральный университет» по направлениям подготовки 38.03.01 «Экономика», 38.03.02 «Менеджмент», 38.03.03 «Управление персоналом» (квалификация (степень) «бакалавр»)</t>
  </si>
  <si>
    <t>Дальневосточный федеральный университет</t>
  </si>
  <si>
    <t>728085.03.01</t>
  </si>
  <si>
    <t>Основы управления проектами гос.-частного партнерства: Уч. / В.В.Артяков-М.:НИЦ ИНФРА-М,2023-192 с.-(П)</t>
  </si>
  <si>
    <t>ОСНОВЫ УПРАВЛЕНИЯ ПРОЕКТАМИ ГОСУДАРСТВЕННО-ЧАСТНОГО ПАРТНЕРСТВА</t>
  </si>
  <si>
    <t>Артяков В.В., Чурсин А.А.</t>
  </si>
  <si>
    <t>978-5-16-016029-0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</si>
  <si>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38.00.00 «Экономика и управление» (квалификация (степень) «магистр») (протокол № 11 от 10.06.2019)</t>
  </si>
  <si>
    <t>684944.02.01</t>
  </si>
  <si>
    <t>Основы управленческого консультирования: Уч. / О.Л.Чуланова-М.:НИЦ ИНФРА-М,2023.-302 с.(ВО)(П)</t>
  </si>
  <si>
    <t>ОСНОВЫ УПРАВЛЕНЧЕСКОГО КОНСУЛЬТИРОВАНИЯ</t>
  </si>
  <si>
    <t>978-5-16-014885-4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</si>
  <si>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38.03.02 «Менеджмент», 38.03.03 «Управление персоналом», 38.03.04 «Государственное и муниципальное управление» (квалификация (степень) «бакалавр») (протокол № 11 от 10.06.2019)</t>
  </si>
  <si>
    <t>684135.02.01</t>
  </si>
  <si>
    <t>Основы финансового менеджмента: Уч.пос. / Л.Н.Коршунова-М.:НИЦ ИНФРА-М,2023.-228 с..-(ВО: Специалитет)(П)</t>
  </si>
  <si>
    <t>ОСНОВЫ ФИНАНСОВОГО МЕНЕДЖМЕНТА</t>
  </si>
  <si>
    <t>Коршунова Л.Н., Проданова Н.А., Зацаринная Е.И. и др.</t>
  </si>
  <si>
    <t>978-5-16-014466-5</t>
  </si>
  <si>
    <t>38.05.01, 38.05.02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</si>
  <si>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38.05.01 «Экономическая безопасность» (квалификация (степень) «экономист») (протокол № 12 от 24.06.2019)</t>
  </si>
  <si>
    <t>Национальный Исследовательский Технологический Университет "МИСИС"</t>
  </si>
  <si>
    <t>210200.04.01</t>
  </si>
  <si>
    <t>Основы финансового мониторинга: Уч.пос. / Попкова Е.Г.-М.:НИЦ ИНФРА-М,2019.-166 с.(ВО: Бакалавр.)(О)</t>
  </si>
  <si>
    <t>ОСНОВЫ ФИНАНСОВОГО МОНИТОРИНГА</t>
  </si>
  <si>
    <t>Попкова Е. Г., Акимова О. Е., Попкова Е. Г.</t>
  </si>
  <si>
    <t>978-5-16-006839-8</t>
  </si>
  <si>
    <t>38.04.01, 38.04.08, 38.05.01, 38.03.01</t>
  </si>
  <si>
    <t>Рекомендовано  федеральным государственным бюджетным образовательным учреждением высшего профессионального образования "Государственный университет управления» в качестве учебного пособия для студентов высших учебных заведений. обучающихся по направл</t>
  </si>
  <si>
    <t>639870.09.01</t>
  </si>
  <si>
    <t>Основы экологической экспертизы: Уч. / В.М.Питулько - М.:НИЦ ИНФРА-М,2023 - 566 с.(ВО: Бакалавр.)(П)</t>
  </si>
  <si>
    <t>ОСНОВЫ ЭКОЛОГИЧЕСКОЙ ЭКСПЕРТИЗЫ</t>
  </si>
  <si>
    <t>Питулько В.М., Иванова В.В., Донченко В.К. и др.</t>
  </si>
  <si>
    <t>978-5-16-012317-2</t>
  </si>
  <si>
    <t>ЕСТЕСТВЕННЫЕ НАУКИ. МАТЕМАТИКА</t>
  </si>
  <si>
    <t>Науки о Земле. Экология</t>
  </si>
  <si>
    <t>06.03.01, 05.03.06, 20.03.01, 18.03.01, 13.03.02, 14.03.02, 14.03.01, 13.03.01, 18.03.02, 19.03.01, 20.03.02</t>
  </si>
  <si>
    <t>Рекомендовано в качестве учебника для студентов высших учебных заведений, обучающихся по направлениям подготовки 05.03.06 «Экология и природопользование», 06.03.01 «Биология», 13.03.01 «Теплоэнергетика и теплотехника» (квалификация (степень) «бакалавр»)</t>
  </si>
  <si>
    <t>Научно-исследовательский центр экологической безопасности Российской академии наук</t>
  </si>
  <si>
    <t>284400.05.01</t>
  </si>
  <si>
    <t>Особенности проф. подготовки женщин...: Моногр. / С.Д.Резник-М.:НИЦ ИНФРА-М,2024-148с.(О)</t>
  </si>
  <si>
    <t>ОСОБЕННОСТИ ПРОФЕССИОНАЛЬНОЙ ПОДГОТОВКИ ЖЕНЩИН К ПРАКТИЧЕСКОЙ ДЕЯТЕЛЬНОСТИ В СФЕРЕ МЕНЕДЖМЕНТА И БИЗНЕСА</t>
  </si>
  <si>
    <t>978-5-16-009910-1</t>
  </si>
  <si>
    <t>412900.09.01</t>
  </si>
  <si>
    <t>Оценка деятельности и система упр.компанией на основе KPI / М.М.Панов - М.:НИЦ ИНФРА-М,2024-255с.(П)</t>
  </si>
  <si>
    <t>ОЦЕНКА ДЕЯТЕЛЬНОСТИ И СИСТЕМА УПРАВЛЕНИЯ КОМПАНИЕЙ НА ОСНОВЕ KPI</t>
  </si>
  <si>
    <t>Панов М. М.</t>
  </si>
  <si>
    <t>978-5-16-005781-1</t>
  </si>
  <si>
    <t>38.02.04, 31.02.04, 38.02.07, 38.02.03, 38.04.02, 38.04.03, 38.03.01, 38.03.02, 38.03.03, 44.03.01, 41.03.06</t>
  </si>
  <si>
    <t>391400.07.01</t>
  </si>
  <si>
    <t>Оценка и сертификация квалификаций персонала в сист.:Моногр./Г.М.Романова-КУРС,НИЦ ИНФРА-М,2023-208с</t>
  </si>
  <si>
    <t>ОЦЕНКА И СЕРТИФИКАЦИЯ КВАЛИФИКАЦИЙ ПЕРСОНАЛА В СИСТЕМЕ ОТРАСЛЕВОГО УПРАВЛЕНИЯ НА ПРИМЕРЕ СФЕРЫ РЕКРЕАЦИИ И СПОРТИВНО-ОЗДОРОВИТЕЛЬНОГО ТУРИЗМА</t>
  </si>
  <si>
    <t>Романова Г.М., Савельева Н.А.</t>
  </si>
  <si>
    <t>978-5-905554-81-0</t>
  </si>
  <si>
    <t>23.03.01, 38.03.01, 38.03.03, 44.03.01, 41.03.06, 51.03.02</t>
  </si>
  <si>
    <t>Сочинский государственный университет</t>
  </si>
  <si>
    <t>373300.09.01</t>
  </si>
  <si>
    <t>Оценка персонала в организации: Уч.пос. / А.М.Асалиев - 2 изд..-М.:НИЦ ИНФРА-М,2023.-171 с.(ВО)(П)</t>
  </si>
  <si>
    <t>ОЦЕНКА ПЕРСОНАЛА В ОРГАНИЗАЦИИ, ИЗД.2</t>
  </si>
  <si>
    <t>Асалиев А.М., Вукович Г.Г., Кириллова О.Г. и др.</t>
  </si>
  <si>
    <t>978-5-16-015986-7</t>
  </si>
  <si>
    <t>38.04.03, 38.03.01</t>
  </si>
  <si>
    <t>Рекомендовано Учебно-методическим объединением вузов России по образованию в области экономики и экономической теории, национальной экономики и экономики труда в качестве учебного пособия для студентов высших учебных заведений, обучающихся по направлению подготовки 38.04.01 «Экономика» (квалификация (степень) «магистр»)</t>
  </si>
  <si>
    <t>473400.02.01</t>
  </si>
  <si>
    <t>Парадигмы корпоративного роста: Моногр. / С.С.Кузьмин - М.:НИЦ ИНФРА-М,2018-225с.(Науч.мысль)(п)</t>
  </si>
  <si>
    <t>ПАРАДИГМЫ КОРПОРАТИВНОГО РОСТА</t>
  </si>
  <si>
    <t>КузьминС.С.</t>
  </si>
  <si>
    <t>978-5-16-011614-3</t>
  </si>
  <si>
    <t>38.03.02, 44.03.05</t>
  </si>
  <si>
    <t>042040.13.01</t>
  </si>
  <si>
    <t>Персональный менеджмент: Практ. / Под общ. ред. С.Д. Резника. - 3 изд.-М.: ИНФРА-М, 2018.-304с. (ВО)</t>
  </si>
  <si>
    <t>ПЕРСОНАЛЬНЫЙ МЕНЕДЖМЕНТ, ИЗД.3</t>
  </si>
  <si>
    <t>Резник С. Д., Бондаренко В. В., Резник С. Д.</t>
  </si>
  <si>
    <t>978-5-16-004835-2</t>
  </si>
  <si>
    <t>38.04.01, 38.04.02, 38.04.03, 38.04.04, 38.03.01, 38.03.02, 38.03.04, 38.03.03, 41.03.06</t>
  </si>
  <si>
    <t>Рекомендовано Советом УМО по образованию в области менеджмента в качестве учебного пособия для студентов вузов, обучающихся  по направлению 080200 "Менеджмент" и специальности 080507 "Менеджмент организации"</t>
  </si>
  <si>
    <t>042040.15.01</t>
  </si>
  <si>
    <t>Персональный менеджмент: Практ. / С.Д.Резник - 4 изд.-М.:НИЦ ИНФРА-М,2021.-306 с..-(ВО)(П)</t>
  </si>
  <si>
    <t>ПЕРСОНАЛЬНЫЙ МЕНЕДЖМЕНТ, ИЗД.4</t>
  </si>
  <si>
    <t>Резник С.Д., Бондаренко В.В., Чемезов И.С. и др.</t>
  </si>
  <si>
    <t>978-5-16-015089-5</t>
  </si>
  <si>
    <t>037920.17.01</t>
  </si>
  <si>
    <t>Персональный менеджмент: Уч. / С.Д.Резник - 5 изд. - М.:НИЦ ИНФРА-М,2018 - 590 с.(ВО:Бакалавр.)(п)</t>
  </si>
  <si>
    <t>ПЕРСОНАЛЬНЫЙ МЕНЕДЖМЕНТ, ИЗД.5</t>
  </si>
  <si>
    <t>Резник С.Д., Бондаренко В.В., Удалов Ф.Е. и др.</t>
  </si>
  <si>
    <t>978-5-16-011389-0</t>
  </si>
  <si>
    <t>15.02.07, 08.02.01, 08.02.04, 40.02.01, 38.02.07, 38.02.01, 38.02.03, 38.04.03, 38.03.02, 38.03.04, 38.03.03, 44.03.05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</si>
  <si>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заведений,обучающихся по направлениям 38.03.02 «Менеджмент»,38.03.03 «Управление персоналом», 38.03.04 «Государственное и муниципальное управление» (квалификация (степень) «бакалавр»)</t>
  </si>
  <si>
    <t>037920.20.01</t>
  </si>
  <si>
    <t>Персональный менеджмент: Уч. / С.Д.Резник - 6 изд.-М.:НИЦ ИНФРА-М,2023.-453 с..-(ВО: Бакалавриат)(П)</t>
  </si>
  <si>
    <t>ПЕРСОНАЛЬНЫЙ МЕНЕДЖМЕНТ, ИЗД.6</t>
  </si>
  <si>
    <t>978-5-16-014780-2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</si>
  <si>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направлениям 38.03.02 «Менеджмент», 38.03.03 «Управление персоналом», 38.03.04 «Государственное и муниципальное управление» (квалификация (степень) «бакалавр»)</t>
  </si>
  <si>
    <t>0619</t>
  </si>
  <si>
    <t>432500.05.01</t>
  </si>
  <si>
    <t>Планирование на предприятии (в орг.):Уч.пос./Т.Н.Литвинова-М.:НИЦ ИНФРА-М,2024-156с(ВО:Бакалавр.)(о)</t>
  </si>
  <si>
    <t>ПЛАНИРОВАНИЕ НА ПРЕДПРИЯТИИ (В ОРГАНИЗАЦИИ)</t>
  </si>
  <si>
    <t>Литвинова Т.Н., Морозова И.А., Попкова Е.Г.</t>
  </si>
  <si>
    <t>978-5-16-011296-1</t>
  </si>
  <si>
    <t>43.02.10, 38.02.01, 41.04.01, 38.04.01, 38.03.01, 38.03.02, 44.03.01, 41.03.06</t>
  </si>
  <si>
    <t>413400.08.01</t>
  </si>
  <si>
    <t>Планирование на предприятии: Уч. / В.В. Янковская - М.: НИЦ Инфра-М, 2023-425с.(ВО: Бакалавр.) (п)</t>
  </si>
  <si>
    <t>ПЛАНИРОВАНИЕ НА ПРЕДПРИЯТИИ</t>
  </si>
  <si>
    <t>Янковская В. В.</t>
  </si>
  <si>
    <t>978-5-16-004280-0</t>
  </si>
  <si>
    <t>43.02.10, 38.02.01, 38.04.01, 38.04.06, 38.04.02, 38.04.04, 38.03.01, 38.03.06, 38.03.02, 38.03.04, 44.03.01</t>
  </si>
  <si>
    <t>Рекомендовано учебно-методическим объединением вузов России по образованию в области экономики в качестве учебника для студентов высших учебных заведений, обучающихся по направлению 38.03.01 «Экономика» (квалификация (степень) «бакалавр»)</t>
  </si>
  <si>
    <t>058950.14.01</t>
  </si>
  <si>
    <t>Планирование на предприятии: Уч. / М.И. Бухалков - 4 изд. - М.: НИЦ ИНФРА-М, 2023-411с.(ВО) (п)</t>
  </si>
  <si>
    <t>ПЛАНИРОВАНИЕ НА ПРЕДПРИЯТИИ, ИЗД.4</t>
  </si>
  <si>
    <t>Бухалков М. И.</t>
  </si>
  <si>
    <t>978-5-16-003931-2</t>
  </si>
  <si>
    <t>43.02.10, 38.02.01, 38.04.01, 38.04.02, 38.03.01, 38.03.02, 44.03.01, 41.03.06</t>
  </si>
  <si>
    <t>Рекомендовано Мин. обр. и науки РФ в качестве учебника для студентов высших учебных заведений, обучающихся по экономическим специальностям</t>
  </si>
  <si>
    <t>0410</t>
  </si>
  <si>
    <t>061890.06.01</t>
  </si>
  <si>
    <t>Планирование на предприятии: Уч. пос./ И.А.Либерман, - 3 изд.-М.:ИЦ РИОР, ИНФРА-М,2021.-205с.(О.к/ф)</t>
  </si>
  <si>
    <t>ПЛАНИРОВАНИЕ НА ПРЕДПРИЯТИИ, ИЗД.3</t>
  </si>
  <si>
    <t>Либерман И. А.</t>
  </si>
  <si>
    <t>978-5-369-00587-3</t>
  </si>
  <si>
    <t>43.02.10, 38.02.01, 43.03.01, 14.03.01, 35.03.02, 38.04.01, 38.04.06, 38.04.02, 27.04.05, 17.03.01, 26.03.02, 38.03.01, 38.03.06, 38.03.02, 44.03.01, 44.03.05, 41.03.06</t>
  </si>
  <si>
    <t>458350.05.01</t>
  </si>
  <si>
    <t>Поведение потребителей: уч.пос. / В.Н.Наумов-М.:НИЦ ИНФРА-М,2019.-248 с..-(ВО: Бакалавриат)(о+Z)</t>
  </si>
  <si>
    <t>ПОВЕДЕНИЕ ПОТРЕБИТЕЛЕЙ</t>
  </si>
  <si>
    <t>Наумов В.Н.</t>
  </si>
  <si>
    <t>978-5-16-009416-8</t>
  </si>
  <si>
    <t>43.03.01, 38.04.01, 38.04.06, 38.04.02, 43.04.01, 38.03.01, 38.03.06, 38.03.02, 41.03.06</t>
  </si>
  <si>
    <t>Рекомендовано Учебно-методическим объединением вузов России по образованию в области экономики в качестве учебника для студентов высших учебных заведений, обучающихся по направлению 38.03.01 (080100.62) "Экономика», профиль «Экономика предприятий и о</t>
  </si>
  <si>
    <t>425600.07.01</t>
  </si>
  <si>
    <t>Повышение эффект.закупок для гос.нужд..:Моногр./Е.А.Демакова-М.:НИЦ ИНФРА-М,2018-288с(Науч.мысль)(о)</t>
  </si>
  <si>
    <t>ПОВЫШЕНИЕ ЭФФЕКТИВНОСТИ ЗАКУПОК ДЛЯ ГОСУДАРСТВЕННЫХ НУЖД НА ОСНОВЕ МОНИТОРИНГА И ОЦЕНКИ КАЧЕСТВА ПРОДУКЦИИ</t>
  </si>
  <si>
    <t>Демакова Е. А.</t>
  </si>
  <si>
    <t>978-5-16-006338-6</t>
  </si>
  <si>
    <t>40.03.01, 38.04.04, 38.03.01, 38.03.04, 44.03.01, 44.03.05</t>
  </si>
  <si>
    <t>242100.10.01</t>
  </si>
  <si>
    <t>Постановка системы бюджетного управления или три.../ М.М. Панов. - М.: НИЦ ИНФРА-М, 2024. - 304 с.(п)</t>
  </si>
  <si>
    <t>ПОСТАНОВКА СИСТЕМЫ БЮДЖЕТНОГО УПРАВЛЕНИЯ ИЛИ ТРИ КООРДИНАТЫ БИЗНЕСА: БДР, БДДС, ББЛ</t>
  </si>
  <si>
    <t>978-5-16-009256-0</t>
  </si>
  <si>
    <t>38.04.08, 38.03.01</t>
  </si>
  <si>
    <t>442050.08.01</t>
  </si>
  <si>
    <t>Правила творческого мышления, или тайные пружины ТРИЗ: Уч.пос. / С.В.Кукалев-М.:НИЦ ИНФРА-М,2024.-416 с.(ВО)(п)</t>
  </si>
  <si>
    <t>ПРАВИЛА ТВОРЧЕСКОГО МЫШЛЕНИЯ, ИЛИ ТАЙНЫЕ ПРУЖИНЫ ТРИЗ</t>
  </si>
  <si>
    <t>Кукалев С.В.</t>
  </si>
  <si>
    <t>978-5-16-018866-9</t>
  </si>
  <si>
    <t>00.03.16, 00.05.16</t>
  </si>
  <si>
    <t>649240.03.01</t>
  </si>
  <si>
    <t>Правовое обеспечение гостиничной деят.: Уч.пос. /Н.А.Вотинцева-М.:ИЦ РИОР, НИЦ ИНФРА-М,2020-299с(ВО)</t>
  </si>
  <si>
    <t>ПРАВОВОЕ ОБЕСПЕЧЕНИЕ ГОСТИНИЧНОЙ ДЕЯТЕЛЬНОСТИ</t>
  </si>
  <si>
    <t>Вотинцева Н.А.</t>
  </si>
  <si>
    <t>978-5-369-01653-4</t>
  </si>
  <si>
    <t>43.03.01, 43.03.02, 43.03.03</t>
  </si>
  <si>
    <t>Удмуртский государственный университет, ф-л в г. Можге</t>
  </si>
  <si>
    <t>811240.01.01</t>
  </si>
  <si>
    <t>Практика гостиничного и туристич. менеджмента: Уч.пос. / С.С.Скобин.-М.:Магистр, НИЦ ИНФРА-М,2024.-352 с.(п)</t>
  </si>
  <si>
    <t>ПРАКТИКА ГОСТИНИЧНОГО И ТУРИСТИЧЕСКОГО МЕНЕДЖМЕНТА</t>
  </si>
  <si>
    <t>Скобкин С.С., Попов Л.А., Ковальчук А.П.</t>
  </si>
  <si>
    <t>978-5-9776-0557-1</t>
  </si>
  <si>
    <t>43.03.03</t>
  </si>
  <si>
    <t>Сентябрь, 2023</t>
  </si>
  <si>
    <t>081850.06.01</t>
  </si>
  <si>
    <t>Практикум по бизнес-планированию с исп. Project..: Уч.пос./В.С.Алиев-2изд-Форум:ИНФРА-М,2019-288(ВО)(П)</t>
  </si>
  <si>
    <t>ПРАКТИКУМ ПО БИЗНЕС-ПЛАНИРОВАНИЮ С ИСПОЛЬЗОВАНИЕМ ПРОГРАММЫ PROJECT EXPERT, ИЗД.2</t>
  </si>
  <si>
    <t>Алиев В. С.</t>
  </si>
  <si>
    <t>978-5-91134-394-1</t>
  </si>
  <si>
    <t>Допущено УМО по образованию в области финансов, учета и мировой экономики в качестве учебного пособия для студентов, обуч. по спец: "Финансы и кредит",  "Бухгалтерский учет, анализ и аудит", "Налоги и налогообложение</t>
  </si>
  <si>
    <t>020332.16.01</t>
  </si>
  <si>
    <t>Практикум по логистике: Уч.пос. / Под ред. Аникина Б.А., - 2 изд.-М.:НИЦ ИНФРА-М,2023.-275 с.(ВО)(П)</t>
  </si>
  <si>
    <t>ПРАКТИКУМ ПО ЛОГИСТИКЕ, ИЗД.2</t>
  </si>
  <si>
    <t>Аникин Б.А., Дыбская В.В., Плоткин Б.К. и др.</t>
  </si>
  <si>
    <t>978-5-16-011994-6</t>
  </si>
  <si>
    <t>38.02.04, 38.03.01, 38.03.06, 38.03.02</t>
  </si>
  <si>
    <t>0202</t>
  </si>
  <si>
    <t>085610.09.01</t>
  </si>
  <si>
    <t>Практикум по менеджменту туризма...: Уч.пос. / Н.А.Зайцева - 2 изд. - М.:Форум, НИЦ ИНФРА-М,2022 - 168 с.(О)</t>
  </si>
  <si>
    <t>ПРАКТИКУМ ПО МЕНЕДЖМЕНТУ ТУРИЗМА. СИТУАЦИИ И ТЕСТЫ, ИЗД.2</t>
  </si>
  <si>
    <t>978-5-91134-491-7</t>
  </si>
  <si>
    <t>43.03.02, 43.03.03, 43.04.03</t>
  </si>
  <si>
    <t>Рекомендовано УМО учебных заведений РФ по образованию в области сервиса и туризма Министерства образования и науки России в качестве учебного пособия для студентов высших учебных заведений</t>
  </si>
  <si>
    <t>051935.07.01</t>
  </si>
  <si>
    <t>Практикум по фин.менеджменту: технология..: Уч.пос./ В.А.Морошкин- 2изд.-М.:НИЦ ИНФРА-М,2017-120с(О)</t>
  </si>
  <si>
    <t>ПРАКТИКУМ ПО ФИНАНСОВОМУ МЕНЕДЖМЕНТУ: ТЕХНОЛОГИЯ ФИНАНСОВЫХ РАСЧЕТОВ С ПРОЦЕНТАМИ, ИЗД.2</t>
  </si>
  <si>
    <t>Морошкин В.А.</t>
  </si>
  <si>
    <t>978-5-16-012547-3</t>
  </si>
  <si>
    <t>38.04.09, 38.04.07, 25.04.04, 38.04.01, 38.04.08, 38.04.06, 38.04.02, 38.04.03, 38.04.04, 38.04.05, 38.05.01, 38.05.02, 38.03.01, 38.03.05, 38.03.06, 38.03.07, 38.03.02, 38.03.04, 38.03.03, 41.03.06</t>
  </si>
  <si>
    <t>051935.13.02</t>
  </si>
  <si>
    <t>Практикум по финанс. менеджменту: технология фин...: Уч.пос. / В.А.Морошкин - 3 изд.-М.:НИЦ ИНФРА-М,2024-131с.(О)</t>
  </si>
  <si>
    <t>ПРАКТИКУМ ПО ФИНАНСОВОМУ МЕНЕДЖМЕНТУ: ТЕХНОЛОГИЯ ФИНАНСОВЫХ РАСЧЕТОВ С ПРОЦЕНТАМИ, ИЗД.3</t>
  </si>
  <si>
    <t>Морошкин В. А., Сметанкин А.С.</t>
  </si>
  <si>
    <t>978-5-16-013070-5</t>
  </si>
  <si>
    <t>Рекомендовано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</t>
  </si>
  <si>
    <t>656376.02.01</t>
  </si>
  <si>
    <t>Практические вопросы муниц. упр. эконом.город.посел.в России../ А.Н.Сыров-М.:ИЦ РИОР, НИЦ ИНФРА-М,2019-207с</t>
  </si>
  <si>
    <t>ПРАКТИЧЕСКИЕ ВОПРОСЫ МУНИЦИПАЛЬНОГО УПРАВЛЕНИЯ ЭКОНОМИКОЙ ГОРОДСКОГО ПОСЕЛЕНИЯ В РОССИИ</t>
  </si>
  <si>
    <t>Сыров А.Н.</t>
  </si>
  <si>
    <t>978-5-369-01684-8</t>
  </si>
  <si>
    <t>Администрация г. Люберцы</t>
  </si>
  <si>
    <t>708462.02.01</t>
  </si>
  <si>
    <t>Практические приложения анализа среды функц...: Моногр./ С.В.Ратнер-Москва:ИНФРА-М,2023-231с.(Науч. мысль)(О)</t>
  </si>
  <si>
    <t>ПРАКТИЧЕСКИЕ ПРИЛОЖЕНИЯ АНАЛИЗА СРЕДЫ ФУНКЦИОНИРОВАНИЯ (DATA ENVELOPMENT ANALYSIS) К РЕШЕНИЮ ЗАДАЧ ЭКОЛОГИЧЕСКОГО МЕНЕДЖМЕНТА</t>
  </si>
  <si>
    <t>Ратнер С.В.</t>
  </si>
  <si>
    <t>978-5-16-015288-2</t>
  </si>
  <si>
    <t>05.04.06, 05.06.01</t>
  </si>
  <si>
    <t>Институт проблем управления им. В.А. Трапезникова Российской академии наук</t>
  </si>
  <si>
    <t>412100.05.01</t>
  </si>
  <si>
    <t>Превентивное антикризисное управление: Уч. пос./В.М.Распопов - М.: Магистр:  НИЦ Инфра-М, 2023-432с. (п)</t>
  </si>
  <si>
    <t>ПРЕВЕНТИВНОЕ АНТИКРИЗИСНОЕ УПРАВЛЕНИЕ</t>
  </si>
  <si>
    <t>978-5-9776-0227-3</t>
  </si>
  <si>
    <t>659148.01.01</t>
  </si>
  <si>
    <t>Предпринимательские риски: Моногр. / Н.Г.Синявский - М.:НИЦ ИНФРА-М,2020 - 177 с.-(Науч.мысль-Фин.универ.)(О)</t>
  </si>
  <si>
    <t>ПРЕДПРИНИМАТЕЛЬСКИЕ РИСКИ</t>
  </si>
  <si>
    <t>Синявский Н.Г., Дадалко В.А.</t>
  </si>
  <si>
    <t>Научная мысль - Финансовый университет</t>
  </si>
  <si>
    <t>978-5-16-015172-4</t>
  </si>
  <si>
    <t>38.04.01, 38.04.02, 38.05.01, 38.06.01</t>
  </si>
  <si>
    <t>113800.11.01</t>
  </si>
  <si>
    <t>Преподаватель вуза: технологии и организ. деят.: Уч. / С.Д.Резник и др. -М.:НИЦ ИНФРА-М,2018-372с(П)</t>
  </si>
  <si>
    <t>ПРЕПОДАВАТЕЛЬ ВУЗА: ТЕХНОЛОГИИ И ОРГАНИЗАЦИЯ ДЕЯТЕЛЬНОСТИ</t>
  </si>
  <si>
    <t>Резник С.Д., Вдовина О.А., Резник С.Д.</t>
  </si>
  <si>
    <t>978-5-16-013077-4</t>
  </si>
  <si>
    <t>38.04.09, 38.04.01, 38.04.08, 38.04.02, 38.04.03, 38.04.04, 38.05.01, 38.05.02, 38.06.01</t>
  </si>
  <si>
    <t>Рекомендовано Советом Учебно-методического объединения вузов России по образованию в области менеджмента к использованию для организации учебного процесса в высших учебных заведениях</t>
  </si>
  <si>
    <t>113800.14.01</t>
  </si>
  <si>
    <t>Преподаватель вуза: технологии и организ. деят.: Уч. / С.Д.Резник,-2 изд.-М:НИЦ ИНФРА-М,2023-339с(П)</t>
  </si>
  <si>
    <t>ПРЕПОДАВАТЕЛЬ ВУЗА: ТЕХНОЛОГИИ И ОРГАНИЗАЦИЯ ДЕЯТЕЛЬНОСТИ, ИЗД.2</t>
  </si>
  <si>
    <t>978-5-16-014781-9</t>
  </si>
  <si>
    <t>113800.08.01</t>
  </si>
  <si>
    <t>Преподаватель вуза: технологии и организация деятельности:Уч.пос. / Под ред. Резник С.Д., - 3-е изд., доп. и перераб.-М.:ИНФРА-М Издательский</t>
  </si>
  <si>
    <t>ПРЕПОДАВАТЕЛЬ ВУЗА: ТЕХНОЛОГИИ И ОРГАНИЗАЦИЯ ДЕЯТЕЛЬНОСТИ, ИЗД.3</t>
  </si>
  <si>
    <t>978-5-16-004478-1</t>
  </si>
  <si>
    <t>430250.04.01</t>
  </si>
  <si>
    <t>Привлеченный персонал на предпр.: теор. и практ..:Моногр./ М.М.Иванова-М.:ИЦ РИОР:ИНФРА-М,2023-155с. (о)</t>
  </si>
  <si>
    <t>ПРИВЛЕЧЕННЫЙ ПЕРСОНАЛ НА ПРЕДПРИЯТИИ: ТЕОРЕТИЧЕСКИЕ И ПРАКТИЧЕСКИЕ АСПЕКТЫ ПРИМЕНЕНИЯ</t>
  </si>
  <si>
    <t>Иванова М. М., Родинова Н. П.</t>
  </si>
  <si>
    <t>978-5-369-01189-8</t>
  </si>
  <si>
    <t>46.03.02, 40.03.01, 40.04.01, 38.04.03, 38.03.01, 38.03.04, 38.03.03, 44.03.01, 44.03.05, 41.03.06</t>
  </si>
  <si>
    <t>635779.03.01</t>
  </si>
  <si>
    <t>Прикладные аспекты менеджмента качест.: Моногр. / А.Н.Шмелева-М.:НИЦ ИНФРА-М,2023-84с(Науч.мысль)(О)</t>
  </si>
  <si>
    <t>ПРИКЛАДНЫЕ АСПЕКТЫ МЕНЕДЖМЕНТА КАЧЕСТВА</t>
  </si>
  <si>
    <t>Шмелева А.Н.</t>
  </si>
  <si>
    <t>978-5-16-012128-4</t>
  </si>
  <si>
    <t>38.00.00, 43.00.00, 43.03.02, 43.03.03, 27.03.02, 43.04.02, 43.04.03, 27.04.02</t>
  </si>
  <si>
    <t>776424.01.01</t>
  </si>
  <si>
    <t>Применение информ. сис. в экономике: Уч.пос. / А.М.Карминский - 2 изд.-М.:ИД Форум, НИЦ ИНФРА-М,2022-320 с.(П)</t>
  </si>
  <si>
    <t>ПРИМЕНЕНИЕ ИНФОРМАЦИОННЫХ СИСТЕМ В ЭКОНОМИКЕ, ИЗД.2</t>
  </si>
  <si>
    <t>Карминский А.М., Черников Б.В.</t>
  </si>
  <si>
    <t>978-5-8199-0932-4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</si>
  <si>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</si>
  <si>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169700.07.01</t>
  </si>
  <si>
    <t>Применение информ. систем в эконом.: Уч. пос. / А.М.Карминский - М.:ИД ФОРУМ:  ИНФРА-М, 2022-320с.(ВО) (п)</t>
  </si>
  <si>
    <t>Карминский А. М., Черников Б. В.</t>
  </si>
  <si>
    <t>978-5-8199-0495-4</t>
  </si>
  <si>
    <t>38.04.02, 38.03.01, 38.03.02</t>
  </si>
  <si>
    <t>Допущено Советом Учебно-методического объединения по образованию в области менеджмента в качестве учебного пособия по дисциплине специальности "Менеджмент организации"</t>
  </si>
  <si>
    <t>780689.01.01</t>
  </si>
  <si>
    <t>Проблема формир. ответств. в развитии чел. капитала / В.Г.Пичугин-М.:НИЦ ИНФРА-М,2022.-170 с.(О)</t>
  </si>
  <si>
    <t>ПРОБЛЕМА ФОРМИРОВАНИЯ ОТВЕТСТВЕННОСТИ В РАЗВИТИИ ЧЕЛОВЕЧЕСКОГО КАПИТАЛА</t>
  </si>
  <si>
    <t>Пичугин В.Г.</t>
  </si>
  <si>
    <t>978-5-16-017768-7</t>
  </si>
  <si>
    <t>37.03.01, 39.04.01, 38.04.03, 38.03.03, 39.03.01</t>
  </si>
  <si>
    <t>483750.02.01</t>
  </si>
  <si>
    <t>Проблемы функционир. автотр. бизнеса..: Моног. / А.Д.Хмельницкий-М.:ИЦ РИОР,НИЦ ИНФРА-М,2017-244с(о)</t>
  </si>
  <si>
    <t>ПРОБЛЕМЫ ФУНКЦИОНИРОВАНИЯ АВТОТРАНСПОРТНОГО БИЗНЕСА: ЭВОЛЮЦИЯ ПРЕОБРАЗОВАНИЙ И СТРАТЕГИЧЕСКИЕ ОРИЕНТИРЫ РАЗВИТИЯ</t>
  </si>
  <si>
    <t>Хмельницкий А. Д.</t>
  </si>
  <si>
    <t>978-5-369-01405-9</t>
  </si>
  <si>
    <t>38.04.02, 23.04.01, 23.03.01, 38.03.02, 44.03.01</t>
  </si>
  <si>
    <t>021900.25.01</t>
  </si>
  <si>
    <t>Прогнозирование и планирование в усл. рынка: Уч.пос. / Л.Е.Басовский-М.:НИЦ ИНФРА-М,2024-260с(ВО)(П)</t>
  </si>
  <si>
    <t>ПРОГНОЗИРОВАНИЕ И ПЛАНИРОВАНИЕ В УСЛОВИЯХ РЫНКА</t>
  </si>
  <si>
    <t>978-5-16-004198-8</t>
  </si>
  <si>
    <t>0199</t>
  </si>
  <si>
    <t>649715.08.01</t>
  </si>
  <si>
    <t>Проектирование системы распределения в логистике: Моногр. / В.В.Дыбская-М.:НИЦ ИНФРА-М,2024-235с(П)</t>
  </si>
  <si>
    <t>ПРОЕКТИРОВАНИЕ СИСТЕМЫ РАСПРЕДЕЛЕНИЯ В ЛОГИСТИКЕ</t>
  </si>
  <si>
    <t>978-5-16-012614-2</t>
  </si>
  <si>
    <t>29.04.02, 23.03.01, 38.03.01, 42.03.03</t>
  </si>
  <si>
    <t>661228.04.01</t>
  </si>
  <si>
    <t>Проектное упр. в коммерч.и публичной сферах:Уч. / Х.А.Константиниди-М.:Вуз.уч.,НИЦ ИНФРА-М,2023-364с</t>
  </si>
  <si>
    <t>ПРОЕКТНОЕ УПРАВЛЕНИЕ В КОММЕРЧЕСКОЙ И ПУБЛИЧНОЙ СФЕРАХ</t>
  </si>
  <si>
    <t>Константиниди Х.А., Берлин С.И., Бугакова Н.П. и др.</t>
  </si>
  <si>
    <t>Высшее образование: Бакалавриат (ФинУн)</t>
  </si>
  <si>
    <t>978-5-9558-0590-0</t>
  </si>
  <si>
    <t>27.03.05, 38.03.02, 39.03.03, 41.03.06</t>
  </si>
  <si>
    <t>Рекомендовано в качестве учебника для студентов высших учебных заведений, обучающихся по направлению подготовки 38.03.02 «Менеджмент» (квалификация (степень) «бакалавр»)</t>
  </si>
  <si>
    <t>771270.04.01</t>
  </si>
  <si>
    <t>Проектное управление: Уч. / Г.Д.Антонов -М.:НИЦ ИНФРА-М,2023.-294 с.(ВО)(П)</t>
  </si>
  <si>
    <t>ПРОЕКТНОЕ УПРАВЛЕНИЕ</t>
  </si>
  <si>
    <t>Высшее образование (РЭУ)</t>
  </si>
  <si>
    <t>978-5-16-018458-6</t>
  </si>
  <si>
    <t>38.03.10, 38.03.01, 38.03.05, 38.03.06, 38.03.07, 38.03.02, 38.03.04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</si>
  <si>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экономическим и техническим направлениям подготовки (квалификация (степень) «бакалавр») (протокол № 2 от 09.02.2022)</t>
  </si>
  <si>
    <t>476450.04.01</t>
  </si>
  <si>
    <t>Проектное финансирование: синергетический аспект: Уч.пос./Г.А.Поташева - М.: ИНФРА-М, 2023 - 384 с(П)</t>
  </si>
  <si>
    <t>ПРОЕКТНОЕ ФИНАНСИРОВАНИЕ: СИНЕРГЕТИЧЕСКИЙ АСПЕКТ</t>
  </si>
  <si>
    <t>Поташева Г.А.</t>
  </si>
  <si>
    <t>978-5-16-005631-9</t>
  </si>
  <si>
    <t>632668.04.01</t>
  </si>
  <si>
    <t>Проектный подход к реализации концепции..: Моногр. / В.М.Аньшин.-М.:НИЦ ИНФРА-М,2024-267с.(П)</t>
  </si>
  <si>
    <t>ПРОЕКТНЫЙ ПОДХОД К РЕАЛИЗАЦИИ КОНЦЕПЦИИ УСТОЙЧИВОГО РАЗВИТИЯ В КОМПАНИИ</t>
  </si>
  <si>
    <t>Аньшин В.М., Глазовская Е.С., Перцева Е.Ю.</t>
  </si>
  <si>
    <t>978-5-16-012011-9</t>
  </si>
  <si>
    <t>712373.01.01</t>
  </si>
  <si>
    <t>Производственная стратегия предприятия: Уч. / Е.С.Григорян - М.:НИЦ ИНФРА-М,2022 - 374 с.(ВО)(П)</t>
  </si>
  <si>
    <t>ПРОИЗВОДСТВЕННАЯ СТРАТЕГИЯ ПРЕДПРИЯТИЯ</t>
  </si>
  <si>
    <t>978-5-16-016005-4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</si>
  <si>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«бакалавр») (протокол № 6 от 16.06.2021)</t>
  </si>
  <si>
    <t>121100.12.01</t>
  </si>
  <si>
    <t>Производственный менедж.: орг. произв.: Уч. / М.И.Бухалков - 2 изд. - М.:НИЦ ИНФРА-М,2023-395 с.(ВО)(П)</t>
  </si>
  <si>
    <t>ПРОИЗВОДСТВЕННЫЙ МЕНЕДЖМЕНТ: ОРГАНИЗАЦИЯ ПРОИЗВОДСТВА, ИЗД.2</t>
  </si>
  <si>
    <t>978-5-16-009610-0</t>
  </si>
  <si>
    <t>26.02.04, 38.04.02, 38.03.02, 41.03.06</t>
  </si>
  <si>
    <t>Допущено Учебно-методическим объединением по образованию в области менеджмента в качестве учебника для студентов высших учебных заведений, обучающихся по направлению подготовки 38.03.02 «Менеджмент»</t>
  </si>
  <si>
    <t>361800.05.01</t>
  </si>
  <si>
    <t>Производственный менеджмент в строит.: Уч. /О.В.Михненков-М.:НИЦ ИНФРА-М,2023-352с.(ВО:Бакалавр.)(п)</t>
  </si>
  <si>
    <t>ПРОИЗВОДСТВЕННЫЙ МЕНЕДЖМЕНТ В СТРОИТЕЛЬСТВЕ</t>
  </si>
  <si>
    <t>МихненковО.В., ШемякинаТ.Ю., КоготковаИ.З. и др.</t>
  </si>
  <si>
    <t>978-5-16-010965-7</t>
  </si>
  <si>
    <t>Рекомендовано Советом Учебно-методического объединения по образованию в области менеджмента в качестве учебника для обучающихся по программам высшего образования направления подготовки 38.03.02 «Менеджмент» (квалификация (степень) «бакалавр»)</t>
  </si>
  <si>
    <t>407800.06.01</t>
  </si>
  <si>
    <t>Производственный менеджмент: упр. качества...:Уч.пос./ Т.Ю.Шемякина-М.:Альфа-М:НИЦ Инфра-М,2023-272с (п)</t>
  </si>
  <si>
    <t>ПРОИЗВОДСТВЕННЫЙ МЕНЕДЖМЕНТ: УПРАВЛЕНИЕ КАЧЕСТВОМ (В СТРОИТЕЛЬСТВЕ)</t>
  </si>
  <si>
    <t>Шемякина Т. Ю., Селивохин М. Ю.</t>
  </si>
  <si>
    <t>978-5-98281-321-3</t>
  </si>
  <si>
    <t>08.03.01, 38.04.02, 38.03.02</t>
  </si>
  <si>
    <t>412600.05.01</t>
  </si>
  <si>
    <t>Производственный менеджмент: Уч./В.Я.Поздняков.-2 изд.-М.:НИЦ ИНФРА-М,2023.-412 с.(ВО: Бакалавр.)(П)</t>
  </si>
  <si>
    <t>ПРОИЗВОДСТВЕННЫЙ МЕНЕДЖМЕНТ, ИЗД.2</t>
  </si>
  <si>
    <t>Поздняков В.Я., Поздняков В.Я., Прудников В.М.</t>
  </si>
  <si>
    <t>978-5-16-006203-7</t>
  </si>
  <si>
    <t>Рекомендовано Учебно-методическим объединением вузов России в качестве учебника для студентов, обучающихся по направлению 080100 «Экономика»</t>
  </si>
  <si>
    <t>258200.05.01</t>
  </si>
  <si>
    <t>Производственный потенциал предпр.машиностр.: Моногр. / О.В.Корсунцева-М.:НИЦ ИНФРА-М,2024-211с(о)</t>
  </si>
  <si>
    <t>ПРОИЗВОДСТВЕННЫЙ ПОТЕНЦИАЛ ПРЕДПРИЯТИЙ МАШИНОСТРОЕНИЯ: ОЦЕНКА, ДИНАМИКА, РЕЗЕРВЫ ПОВЫШЕНИЯ</t>
  </si>
  <si>
    <t>Корсунцева О. В.</t>
  </si>
  <si>
    <t>978-5-16-009482-3</t>
  </si>
  <si>
    <t>104440.11.01</t>
  </si>
  <si>
    <t>Промышленная логистика: Уч.пос. / А.М. Афонин - М.: Форум,2023 - 304 с.(ПО) (П)</t>
  </si>
  <si>
    <t>ПРОМЫШЛЕННАЯ ЛОГИСТИКА</t>
  </si>
  <si>
    <t>Афонин А. М., Царегородцев Ю. Н., Петрова А. М.</t>
  </si>
  <si>
    <t>978-5-91134-283-8</t>
  </si>
  <si>
    <t>38.02.04, 38.02.01</t>
  </si>
  <si>
    <t>Московский гуманитарный университет</t>
  </si>
  <si>
    <t>639386.03.01</t>
  </si>
  <si>
    <t>Промышленная полит.и антикриз. упр. предпр.: Моногр. / А.С.Лифшиц-М.:ИЦ РИОР, НИЦ ИНФРА-М,2023-246с.</t>
  </si>
  <si>
    <t>ПРОМЫШЛЕННАЯ ПОЛИТИКА И АНТИКРИЗИСНОЕ УПРАВЛЕНИЕ ПРЕДПРИЯТИЯМИ</t>
  </si>
  <si>
    <t>Лифшиц А.С., Ибрагимова Р.С., Новиков В.А. и др.</t>
  </si>
  <si>
    <t>978-5-369-01597-1</t>
  </si>
  <si>
    <t>667703.01.01</t>
  </si>
  <si>
    <t>Промышленные кластеры и их роль в разв.промыш.полит.региона: Моногр. / И.С.Ферова-М.:НИЦ ИНФРА-М, СФУ,2018-247с.</t>
  </si>
  <si>
    <t>ПРОМЫШЛЕННЫЕ КЛАСТЕРЫ И ИХ РОЛЬ В РАЗВИТИИ ПРОМЫШЛЕННОЙ ПОЛИТИКИ РЕГИОНА</t>
  </si>
  <si>
    <t>Ферова И.С., Кожинова Т.В., Шорохов Р.Г. и др.</t>
  </si>
  <si>
    <t>978-5-16-013256-3</t>
  </si>
  <si>
    <t>066460.10.01</t>
  </si>
  <si>
    <t>Психологическая экономика: Уч. пос. / Б.А. Райзберг - М.: ИНФРА-М, 2024 - 432 с. (П)</t>
  </si>
  <si>
    <t>ПСИХОЛОГИЧЕСКАЯ ЭКОНОМИКА</t>
  </si>
  <si>
    <t>5-16-002454-9</t>
  </si>
  <si>
    <t>094530.07.01</t>
  </si>
  <si>
    <t>Психология менеджмента: Уч. пос. / М.И. Тимофеев - М.: РИОР, 2020 - 205 с.(Карм. ф) (О)</t>
  </si>
  <si>
    <t>ПСИХОЛОГИЯ МЕНЕДЖМЕНТА</t>
  </si>
  <si>
    <t>978-5-369-00342-8</t>
  </si>
  <si>
    <t>38.03.10, 37.03.01, 37.05.02, 38.03.01, 38.03.05, 38.03.06, 38.03.07, 38.03.02, 38.03.04, 38.03.03</t>
  </si>
  <si>
    <t>240200.07.01</t>
  </si>
  <si>
    <t>Психология менеджмента: Уч. пос. / Э.В. Островский - М.: Вуз. уч.:  НИЦ ИНФРА-М, 2023 - 240 с. (П)</t>
  </si>
  <si>
    <t>Островский Э. В.</t>
  </si>
  <si>
    <t>978-5-9558-0340-1</t>
  </si>
  <si>
    <t>37.03.01, 42.03.01, 37.04.01, 44.04.02, 38.04.02, 38.03.02, 44.03.02, 41.03.06</t>
  </si>
  <si>
    <t>210300.12.01</t>
  </si>
  <si>
    <t>Работа с командой: психологические возможности. Практ. / В.В.Авдеев - М.:КУРС: ИНФРА-М,2023-152с.(О)</t>
  </si>
  <si>
    <t>РАБОТА С КОМАНДОЙ: ПСИХОЛОГИЧЕСКИЕ ВОЗМОЖНОСТИ: ПРАКТИКУМ</t>
  </si>
  <si>
    <t>Авдеев В.В.</t>
  </si>
  <si>
    <t>978-5-905554-35-3</t>
  </si>
  <si>
    <t>38.02.04, 31.02.04, 38.02.07, 38.02.03, 37.03.01, 37.04.01, 44.04.02, 23.03.01, 38.03.01, 38.03.03, 44.03.01, 44.03.02, 41.03.06, 51.03.02</t>
  </si>
  <si>
    <t>373900.04.01</t>
  </si>
  <si>
    <t>Развитие бизнеса транспортного предприятия..: Практ.пос./Н.А.Логинова-М.:НИЦ ИНФРА-М,2023-231с.(о)</t>
  </si>
  <si>
    <t>РАЗВИТИЕ БИЗНЕСА ТРАНСПОРТНОГО ПРЕДПРИЯТИЯ НА ПРИМЕРЕ ФИРМЫ «ДИСКОРДИЯ» (БОЛГАРИЯ)</t>
  </si>
  <si>
    <t>ЛогиноваН.А., ПървановХ.</t>
  </si>
  <si>
    <t>978-5-16-011057-8</t>
  </si>
  <si>
    <t>Междисциплинарное практическое пособие по дисциплинам: «Организация предпринимательской деятельности на транспорте», «Планирование на транспортном предприятии», «Транспортная логистика», «Транспортно-экспедиционное обслуживание»</t>
  </si>
  <si>
    <t>765040.02.01</t>
  </si>
  <si>
    <t>Развитие внутр. контроля в сис. управ. с/х производ.: Моногр. / Г.С.Клычова.-М.:ИЦ РИОР, НИЦ ИНФРА-М,2024.-213с(О)</t>
  </si>
  <si>
    <t>РАЗВИТИЕ ВНУТРЕННЕГО КОНТРОЛЯ В СИСТЕМЕ УПРАВЛЕНИЯ СЕЛЬСКОХОЗЯЙСТВЕННЫМ ПРОИЗВОДСТВОМ</t>
  </si>
  <si>
    <t>Клычова Г.С., Закирова А.Р., Валиев А.Р. и др.</t>
  </si>
  <si>
    <t>978-5-369-01877-4</t>
  </si>
  <si>
    <t>38.04.02, 38.06.01, 38.03.01</t>
  </si>
  <si>
    <t>Казанский государственный аграрный университет</t>
  </si>
  <si>
    <t>278600.06.01</t>
  </si>
  <si>
    <t>Развитие лидерского потенциала рук.:Моногр. / О.В.Евтихов - М.:НИЦ ИНФРА-М,2022 - 198 с.(Науч.мысль)(О)</t>
  </si>
  <si>
    <t>РАЗВИТИЕ ЛИДЕРСКОГО ПОТЕНЦИАЛА РУКОВОДИТЕЛЯ</t>
  </si>
  <si>
    <t>Евтихов О. В.</t>
  </si>
  <si>
    <t>978-5-16-009811-1</t>
  </si>
  <si>
    <t>Сибирский юридический институт Министерства внутренних дел Российской Федерации</t>
  </si>
  <si>
    <t>485150.08.01</t>
  </si>
  <si>
    <t>Развитие организации на основе риск-менеджмента: Моногр. / Н.В.Капустина-М.:НИЦ ИНФРА-М,2023.-179 с.(О)</t>
  </si>
  <si>
    <t>РАЗВИТИЕ ОРГАНИЗАЦИИ НА ОСНОВЕ РИСК-МЕНЕДЖМЕНТА: ТЕОРИЯ, МЕТОДОЛОГИЯ И ПРАКТИКА</t>
  </si>
  <si>
    <t>Капустина Н.В.</t>
  </si>
  <si>
    <t>978-5-16-010571-0</t>
  </si>
  <si>
    <t>Российский университет транспорта (МИИТ)</t>
  </si>
  <si>
    <t>455350.06.01</t>
  </si>
  <si>
    <t>Развитие регионов:диагн.регион.различий: Моногр./З.В.Брагина-М.:НИЦ ИНФРА-М,2022-152с(Науч.мысль)(о)</t>
  </si>
  <si>
    <t>РАЗВИТИЕ РЕГИОНОВ: ДИАГНОСТИКА РЕГИОНАЛЬНЫХ РАЗЛИЧИЙ</t>
  </si>
  <si>
    <t>Брагина З.В., Киселев И.К.</t>
  </si>
  <si>
    <t>978-5-16-009274-4</t>
  </si>
  <si>
    <t>38.04.01, 38.04.02, 38.04.04, 38.03.01, 38.03.02, 38.03.04, 44.03.01, 41.03.06</t>
  </si>
  <si>
    <t>439750.04.01</t>
  </si>
  <si>
    <t>Развитие фин.в жилищ.-коммунал.хоз.: Моногр. / Ряховская А.Н. - М.:Магистр,НИЦ ИНФРА-М,2019-256с.(П)</t>
  </si>
  <si>
    <t>РАЗВИТИЕ ФИНАНСИРОВАНИЯ В ЖИЛИЩНО-КОММУНАЛЬНОМ ХОЗЯЙСТВЕ</t>
  </si>
  <si>
    <t>Ряховская А. Н., Шрейбер А. К., Кириллова А. Н., Кован С. Е., Ряховская А. Н.</t>
  </si>
  <si>
    <t>978-5-9776-0271-6</t>
  </si>
  <si>
    <t>38.04.01, 38.04.08, 38.04.04, 38.03.01, 38.03.04, 44.03.05</t>
  </si>
  <si>
    <t>307200.12.01</t>
  </si>
  <si>
    <t>Разработка бизнес-прил. на платф."1С:Предпр.": Уч.пос. / Э.Г.Дадян - 2 изд. - М.:НИЦ ИНФРА-М,2024-305с(ВО)(п)</t>
  </si>
  <si>
    <t>РАЗРАБОТКА БИЗНЕС-ПРИЛОЖЕНИЙ НА ПЛАТФОРМЕ "1С:ПРЕДПРИЯТИЕ", ИЗД.2</t>
  </si>
  <si>
    <t>978-5-16-019434-9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</si>
  <si>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подготовки 38.03.01 «Экономика» (квалификация (степень) «бакалавр)</t>
  </si>
  <si>
    <t>682798.03.01</t>
  </si>
  <si>
    <t>Разработка бизнес-приложений на платформе "1С: Предпр.": Уч.пос. / Э.Г.Дадян-М.:НИЦ ИНФРА-М,2023.-305 с(П)</t>
  </si>
  <si>
    <t>РАЗРАБОТКА БИЗНЕС-ПРИЛОЖЕНИЙ НА ПЛАТФОРМЕ "1С: ПРЕДПРИЯТИЕ"</t>
  </si>
  <si>
    <t>978-5-16-016648-3</t>
  </si>
  <si>
    <t>38.02.06, 38.02.01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</si>
  <si>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22.06.2020)</t>
  </si>
  <si>
    <t>167250.10.01</t>
  </si>
  <si>
    <t>Разработка управленческих решений: Уч. пос. / Е.В. Строева - М.: НИЦ ИНФРА-М, 2023-128с.(ВО) (о)</t>
  </si>
  <si>
    <t>РАЗРАБОТКА УПРАВЛЕНЧЕСКИХ РЕШЕНИЙ</t>
  </si>
  <si>
    <t>Строева Е. В., Лаврова Е. В.</t>
  </si>
  <si>
    <t>978-5-16-005222-9</t>
  </si>
  <si>
    <t>46.04.02, 38.04.04, 38.03.02, 38.03.04, 41.03.06</t>
  </si>
  <si>
    <t>Допущено Советом Учебно-методического объединения вузов России по образованию в области менеджмента в качестве учебного пособия для студентов высшего профессионального образования, обучающихся по специальности 080507 «Менеджмент организации», дисципл</t>
  </si>
  <si>
    <t>800728.01.01</t>
  </si>
  <si>
    <t>Разрешительная деятельность в механизме гос. упр.: Моногр. / Л.В.Андриченко-М.:НИЦ ИНФРА-М,2023-600 с.(ИЗиСП)(п)</t>
  </si>
  <si>
    <t>РАЗРЕШИТЕЛЬНАЯ ДЕЯТЕЛЬНОСТЬ В МЕХАНИЗМЕ ГОСУДАРСТВЕННОГО УПРАВЛЕНИЯ</t>
  </si>
  <si>
    <t>Андриченко Л.В., Горенская Е.В., Емельянов А.С. и др.</t>
  </si>
  <si>
    <t>978-5-16-018299-5</t>
  </si>
  <si>
    <t>765723.02.01</t>
  </si>
  <si>
    <t>Реализация гос. экономич. политики в эпоху формир...: Моногр. / Е.В.Агамагомедова.-М.:НИЦ ИНФРА-М,2024-207с(О)</t>
  </si>
  <si>
    <t>РЕАЛИЗАЦИЯ ГОСУДАРСТВЕННОЙ ЭКОНОМИЧЕСКОЙ ПОЛИТИКИ В ЭПОХУ ФОРМИРОВАНИЯ НЕОИНДУСТРИАЛЬНОГО ОБЩЕСТВА</t>
  </si>
  <si>
    <t>Агамагомедова Е.В., Андросова И.В., Бабич Т.Н. и др.</t>
  </si>
  <si>
    <t>978-5-16-017248-4</t>
  </si>
  <si>
    <t>Белгородский государственный технологический университет им. В.Г. Шухова, Новороссийский ф-л</t>
  </si>
  <si>
    <t>203900.07.01</t>
  </si>
  <si>
    <t>Региональное упр. и территор.планирование: Уч. / Р.А.Попов - М.:НИЦ ИНФРА-М,2022-288с.(ВО:Бакалавр.)(п)</t>
  </si>
  <si>
    <t>РЕГИОНАЛЬНОЕ УПРАВЛЕНИЕ И ТЕРРИТОРИАЛЬНОЕ ПЛАНИРОВАНИЕ</t>
  </si>
  <si>
    <t>Попов Р. А.</t>
  </si>
  <si>
    <t>978-5-16-005662-3</t>
  </si>
  <si>
    <t>38.04.01, 38.04.02, 38.04.04, 38.03.01, 38.03.02, 38.03.04, 41.03.06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</si>
  <si>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направлению подготовки 38.03.04 (081100.62) «Государственное и муниципальное управление» (квалификация (степень) - "бакалавр")</t>
  </si>
  <si>
    <t>Кубанский государственный технологический университет</t>
  </si>
  <si>
    <t>729119.02.01</t>
  </si>
  <si>
    <t>Региональное управление и терр. планирование: Практ.: Уч.пос. / Р.Н.Шпакова - М.:Магистр, НИЦ ИНФРА-М,2022-128 с.(О)</t>
  </si>
  <si>
    <t>Шпакова Р.Н.</t>
  </si>
  <si>
    <t>978-5-9776-0516-8</t>
  </si>
  <si>
    <t>642207.08.01</t>
  </si>
  <si>
    <t>Региональное управление и территор. планир.: Уч.пос. / Н.А.Каменских-М.:НИЦ ИНФРА-М,2023-127с(ВО)(О)</t>
  </si>
  <si>
    <t>РЕГИОНАЛЬНОЕ УПРАВЛЕНИЕ И ТЕРРИТОРИАЛЬНОЕ ПЛАНИРОВАНИЕ: СТРАТЕГИЧЕСКОЕ ПАРТНЁРСТВО В  СИСТЕМЕ  РЕГИОНАЛЬНОГО РАЗВИТИЯ</t>
  </si>
  <si>
    <t>Каменских Н.А.</t>
  </si>
  <si>
    <t>978-5-16-012400-1</t>
  </si>
  <si>
    <t>38.03.01, 38.03.02, 38.03.04, 44.03.05</t>
  </si>
  <si>
    <t>Рекомендовано в качестве учебного пособия для студентов высших учебных заведений, обучающихся по направлениям подготовки 38.03.04 «Государственное и муниципальное управление», 38.03.01 «Экономика», 38.03.02 «Менеджмент» (квалификация (степень) «бакалавр»)</t>
  </si>
  <si>
    <t>Государственный гуманитарно-технологический университет</t>
  </si>
  <si>
    <t>632386.03.01</t>
  </si>
  <si>
    <t>Региональные технологические платформы...: Моногр. / В.В.Куимов-М.:НИЦ ИНФРА-М,2022.-343 с.(О)</t>
  </si>
  <si>
    <t>РЕГИОНАЛЬНЫЕ ТЕХНОЛОГИЧЕСКИЕ ПЛАТФОРМЫ - КАК ИНСТРУМЕНТ ИННОВАЦИОННОГО РАЗВИТИЯ ТЕРРИТОРИИ</t>
  </si>
  <si>
    <t>978-5-16-017083-1</t>
  </si>
  <si>
    <t>184750.10.01</t>
  </si>
  <si>
    <t>Резюме, характеристика, рекомендация: как подгот... / Н.А.Добрина - РИОР:ИНФРА-М,2024 - 128 с.(о)</t>
  </si>
  <si>
    <t>РЕЗЮМЕ, ХАРАКТЕРИСТИКА, РЕКОМЕНДАЦИЯ: КАК ПОДГОТОВИТЬ ПРАВИЛЬНО И БЫСТРО</t>
  </si>
  <si>
    <t>Добрина Н.А., Мустафина И.В.</t>
  </si>
  <si>
    <t>978-5-369-01076-1</t>
  </si>
  <si>
    <t>636794.03.01</t>
  </si>
  <si>
    <t>Реинжиниринг процессов организации: Моногр. / Б.Н.Герасимов -М.:Вуз.уч.,НИЦ ИНФРА-М,2020-256с(О)</t>
  </si>
  <si>
    <t>РЕИНЖИНИРИНГ ПРОЦЕССОВ ОРГАНИЗАЦИИ</t>
  </si>
  <si>
    <t>Герасимов Б.Н.</t>
  </si>
  <si>
    <t>978-5-9558-0518-4</t>
  </si>
  <si>
    <t>27.03.02, 38.04.02, 38.04.03, 27.04.05, 38.03.02</t>
  </si>
  <si>
    <t>409400.05.01</t>
  </si>
  <si>
    <t>Ректоры России: сист. и мех. проф..: Моногр. / С.Д.Резник-2изд.-М.:НИЦ ИНФРА-М,2023-232с(Науч.мысль)</t>
  </si>
  <si>
    <t>РЕКТОРЫ РОССИИ: СИСТЕМА И МЕХАНИЗМЫ ПРОФЕССИОНАЛЬНОГО СТАНОВЛЕНИЯ, ИЗД.2</t>
  </si>
  <si>
    <t>Резник С. Д., Сазыкина О. А., Фомин Г. Б., Резник С. Д.</t>
  </si>
  <si>
    <t>978-5-16-015268-4</t>
  </si>
  <si>
    <t>38.04.02, 38.03.01, 38.03.02, 38.03.03, 44.03.01, 41.03.06</t>
  </si>
  <si>
    <t>764301.01.01</t>
  </si>
  <si>
    <t>Репутационный менеджмент в рос. универ...: Моногр. / С.Д.Резник - 2 изд.-М.:НИЦ ИНФРА-М,2022-228с.(О)</t>
  </si>
  <si>
    <t>РЕПУТАЦИОННЫЙ МЕНЕДЖМЕНТ В РОССИЙСКОМ УНИВЕРСИТЕТЕ: ПРОБЛЕМЫ И РЕШЕНИЯ, ИЗД.2</t>
  </si>
  <si>
    <t>Резник С.Д., Юдина Т.А., Резник С.Д.</t>
  </si>
  <si>
    <t>978-5-16-017156-2</t>
  </si>
  <si>
    <t>38.04.01, 38.04.02, 38.04.03, 38.06.01, 38.03.01, 38.03.02, 38.03.03</t>
  </si>
  <si>
    <t>132150.09.01</t>
  </si>
  <si>
    <t>Риски организации и внутренний эконом.контроль: Моногр. /Т.Ю.Серебрякова-М.:НИЦ ИНФРА-М,2024-111с(О)</t>
  </si>
  <si>
    <t>РИСКИ ОРГАНИЗАЦИИ И ВНУТРЕННИЙ ЭКОНОМИЧЕСКИЙ КОНТРОЛЬ</t>
  </si>
  <si>
    <t>Серебрякова Т. Ю.</t>
  </si>
  <si>
    <t>978-5-16-004364-7</t>
  </si>
  <si>
    <t>38.04.09, 38.04.07, 27.04.07, 38.04.01, 38.04.08, 38.04.06, 38.04.02, 38.05.01, 38.05.02, 38.03.01, 38.03.06, 38.03.07, 38.03.02, 38.03.03</t>
  </si>
  <si>
    <t>Российский университет кооперации, Чебоксарский ф-л</t>
  </si>
  <si>
    <t>698148.03.01</t>
  </si>
  <si>
    <t>Риски организации: их учет, анализ и контроль: Моногр. / Т.Ю.Серебрякова-М.:НИЦ ИНФРА-М,2020-233с(О)</t>
  </si>
  <si>
    <t>РИСКИ ОРГАНИЗАЦИИ: ИХ УЧЕТ, АНАЛИЗ И КОНТРОЛЬ</t>
  </si>
  <si>
    <t>Серебрякова Т.Ю., Гордеева О.Г.</t>
  </si>
  <si>
    <t>978-5-16-014777-2</t>
  </si>
  <si>
    <t>416050.05.01</t>
  </si>
  <si>
    <t>Риски хозяйствующих субъектов..: Уч.пос./ В.И.Авдийский-М:Альфа-М:НИЦ ИНФРА-М,2024-368с(Магистр.) (п)</t>
  </si>
  <si>
    <t>РИСКИ ХОЗЯЙСТВУЮЩИХ СУБЪЕКТОВ: ТЕОРЕТИЧЕСКИЕ ОСНОВЫ, МЕТОДОЛОГИИ АНАЛИЗА, ПРОГНОЗИРОВАНИЯ И УПРАВЛЕНИЯ</t>
  </si>
  <si>
    <t>Авдийский В. И., Безденежных В. М.</t>
  </si>
  <si>
    <t>978-5-98281-333-6</t>
  </si>
  <si>
    <t>38.04.01, 38.04.02, 38.04.03, 38.03.01, 38.03.02, 38.03.03, 41.03.06</t>
  </si>
  <si>
    <t>689167.04.01</t>
  </si>
  <si>
    <t>Риск-менеджмент - основа устойч. бизнеса: Уч.пос./ А.Н.Ряховская-М.:Магистр,НИЦ ИНФРА-М,2024-256с(П)</t>
  </si>
  <si>
    <t>РИСК-МЕНЕДЖМЕНТ - ОСНОВА УСТОЙЧИВОСТИ БИЗНЕСА</t>
  </si>
  <si>
    <t>Ряховская А.Н., Крюкова О.Г., Кузнецова М.О.</t>
  </si>
  <si>
    <t>978-5-9776-0487-1</t>
  </si>
  <si>
    <t>713207.01.01</t>
  </si>
  <si>
    <t>Риск-менеджмент в строительстве: Моногр. / О.Е.Астафьева.-М.:НИЦ ИНФРА-М,2022.-183 с.(Науч.мысль)(О)</t>
  </si>
  <si>
    <t>РИСК-МЕНЕДЖМЕНТ В СТРОИТЕЛЬСТВЕ</t>
  </si>
  <si>
    <t>Астафьева О.Е., Моисеенко Н.А., Козловский А.В. и др.</t>
  </si>
  <si>
    <t>978-5-16-017320-7</t>
  </si>
  <si>
    <t>38.04.02, 08.04.01, 08.06.01, 38.06.01</t>
  </si>
  <si>
    <t>633162.06.01</t>
  </si>
  <si>
    <t>Рынки информационно-коммуникационных тех. и орг.продаж: Уч. / В.Н.Наумов-М.:НИЦ ИНФРА-М,2023-404(ВО)</t>
  </si>
  <si>
    <t>РЫНКИ ИНФОРМАЦИОННО-КОММУНИКАЦИОННЫХ ТЕХНОЛОГИЙ И ОРГАНИЗАЦИЯ ПРОДАЖ</t>
  </si>
  <si>
    <t>978-5-16-012042-3</t>
  </si>
  <si>
    <t>09.03.02, 38.03.05, 38.03.02</t>
  </si>
  <si>
    <t>Рекомендовано Научно-методическим советом федерального государственного бюджетного образовательного учреждения высшего образования «Санкт-Петербургский государственный экономический университет» в качестве учебника для студентов, обучающихся по направлению подготовки 38.03.05 «Бизнес-информатика» (квалификация (степень) «бакалавр»)</t>
  </si>
  <si>
    <t>674951.08.01</t>
  </si>
  <si>
    <t>Самоорганиз. и личная эффектив.: секреты и уроки .. / С.Д.Резник - 2 изд. - М.:ИНФРА-М,2023 - 286с.(П)</t>
  </si>
  <si>
    <t>САМООРГАНИЗАЦИЯ И ЛИЧНАЯ ЭФФЕКТИВНОСТЬ: СЕКРЕТЫ И УРОКИ ЖИЗНИ ОРГАНИЗОВАННОГО ЧЕЛОВЕКА, ИЗД.2</t>
  </si>
  <si>
    <t>Резник С.Д., Усов В.Р.</t>
  </si>
  <si>
    <t>978-5-16-014138-1</t>
  </si>
  <si>
    <t>Научно-популярное издание</t>
  </si>
  <si>
    <t>674951.02.01</t>
  </si>
  <si>
    <t>Самоорганизация и личная эффектив.: секреты и уроки жизни.../ С.Д.Резник-М:НИЦ ИНФРА-М,2018.-280с(П)</t>
  </si>
  <si>
    <t>САМООРГАНИЗАЦИЯ И ЛИЧНАЯ ЭФФЕКТИВНОСТЬ: СЕКРЕТЫ И УРОКИ ЖИЗНИ ОРГАНИЗОВАННОГО ЧЕЛОВЕКА</t>
  </si>
  <si>
    <t>978-5-16-013568-7</t>
  </si>
  <si>
    <t>132700.08.01</t>
  </si>
  <si>
    <t>Санаторно-курортное дело: Уч. / Г.И.Молчанов, Н.Г.Бондаренко - М.: Альфа-М:  ИНФРА-М, 2024-400с. (п)</t>
  </si>
  <si>
    <t>САНАТОРНО-КУРОРТНОЕ ДЕЛО</t>
  </si>
  <si>
    <t>Молчанов Г. И., Бондаренко Н. Г., Дегтярева И. Н., Кубалова Л. М., Молчанов А. А.</t>
  </si>
  <si>
    <t>978-5-98281-171-4</t>
  </si>
  <si>
    <t>43.03.03, 49.03.03</t>
  </si>
  <si>
    <t>683107.02.01</t>
  </si>
  <si>
    <t>Санаторно-курортное дело: Уч. / Под ред. Молчанова Г.И. - М.:НИЦ ИНФРА-М,2023 - 397 с.(СПО)(П)</t>
  </si>
  <si>
    <t>Молчанов Г.И., Бондаренко Н.Г., Дегтярева И.Н. и др.</t>
  </si>
  <si>
    <t>978-5-16-016935-4</t>
  </si>
  <si>
    <t>43.02.01, 43.02.10, 43.02.11, 43.02.14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</si>
  <si>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</si>
  <si>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375900.02.98</t>
  </si>
  <si>
    <t>Сетевая модель формирования рос нац. иннов..: Моногр./ А.Е.Суглобов-М.:ИЦ РИОР,НИЦ ИНФРА-М,2017-137с</t>
  </si>
  <si>
    <t>СЕТЕВАЯ МОДЕЛЬ ФОРМИРОВАНИЯ РОССИЙСКОЙ НАЦИОНАЛЬНОЙ ИННОВАЦИОННОЙ СИСТЕМЫ</t>
  </si>
  <si>
    <t>Суглобов А.Е., Смирнова Е.В.</t>
  </si>
  <si>
    <t>978-5-369-01442-4</t>
  </si>
  <si>
    <t>27.03.05, 02.04.03, 25.04.03, 25.04.04, 27.04.07, 22.04.02, 25.04.01, 25.04.02, 23.04.03, 19.04.02, 38.03.01</t>
  </si>
  <si>
    <t>375900.06.01</t>
  </si>
  <si>
    <t>Сетевая модель формирования рос нац..: Моногр./ А.Е.Суглобов - 2 изд. - М.:ИЦ РИОР,НИЦ ИНФРА-М,2022-137с(О)</t>
  </si>
  <si>
    <t>СЕТЕВАЯ МОДЕЛЬ РОС. НАЦ.  ИННОВАЦИОННОЙ СИСТЕМЫ: ФОРМИРОВАНИЕ И РАЗВИТИЕ, ИЗД.2</t>
  </si>
  <si>
    <t>978-5-369-01755-5</t>
  </si>
  <si>
    <t>090600.08.01</t>
  </si>
  <si>
    <t>Система гос. и муниц. управления: Уч. / В.Е.Чиркин - 5 изд. - М.:Юр.Норма,НИЦ ИНФРА-М,2018-432с.(П)</t>
  </si>
  <si>
    <t>СИСТЕМА ГОСУДАРСТВЕННОГО И МУНИЦИПАЛЬНОГО УПРАВЛЕНИЯ, ИЗД.5</t>
  </si>
  <si>
    <t>978-5-91768-365-2</t>
  </si>
  <si>
    <t>Допущено Советом Учебно-методического объединения вузов России по образованию в области менеджмента в качестве учебника по специальности "Государственное и муниципальное управление"</t>
  </si>
  <si>
    <t>0513</t>
  </si>
  <si>
    <t>090600.13.01</t>
  </si>
  <si>
    <t>Система гос. и муниц. управления: Уч. / В.Е.Чиркин - 6 изд. - М.:Юр.Норма,НИЦ ИНФРА-М,2023-400с.(П)</t>
  </si>
  <si>
    <t>СИСТЕМА ГОСУДАРСТВЕННОГО И МУНИЦИПАЛЬНОГО УПРАВЛЕНИЯ, ИЗД.6</t>
  </si>
  <si>
    <t>978-5-91768-612-7</t>
  </si>
  <si>
    <t>646247.02.01</t>
  </si>
  <si>
    <t>Система гос. и муниципального управления: Уч. / А.А.Акмалова - М.:НИЦ ИНФРА-М,2023 - 414 с(П)</t>
  </si>
  <si>
    <t>СИСТЕМА ГОСУДАРСТВЕННОГО И МУНИЦИПАЛЬНОГО УПРАВЛЕНИЯ</t>
  </si>
  <si>
    <t>Акмалова А.А., Капицын В.М.</t>
  </si>
  <si>
    <t>978-5-16-018453-1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</si>
  <si>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38.03.04 «Государственное и муниципальное управление» (квалификация (степень) «бакалавр») (протокол № 8 от 22.06.2020)</t>
  </si>
  <si>
    <t>708099.04.01</t>
  </si>
  <si>
    <t>Система контроля в сфере гос. упр.: Моногр. / С.М.Зубарев - М.:Юр.Норма, НИЦ ИНФРА-М,2023-152 с.(П)</t>
  </si>
  <si>
    <t>СИСТЕМА КОНТРОЛЯ В СФЕРЕ ГОСУДАРСТВЕННОГО УПРАВЛЕНИЯ</t>
  </si>
  <si>
    <t>Зубарев С.М.</t>
  </si>
  <si>
    <t>978-5-91768-659-2</t>
  </si>
  <si>
    <t>40.03.01, 40.04.01, 40.05.01, 40.05.02</t>
  </si>
  <si>
    <t>Московский государственный юридический университет им. О.Е. Кутафина</t>
  </si>
  <si>
    <t>161150.09.01</t>
  </si>
  <si>
    <t>Система менеджм.качества организации: Уч.пос. / С.М.Вдовин - М.:НИЦ ИНФРА-М,2024 - 299 с.(ВО:Бакалавр.)(П)</t>
  </si>
  <si>
    <t>СИСТЕМА МЕНЕДЖМЕНТА КАЧЕСТВА ОРГАНИЗАЦИИ</t>
  </si>
  <si>
    <t>Вдовин С.М., Салимова Т.А., Бирюкова Л.И.</t>
  </si>
  <si>
    <t>978-5-16-005070-6</t>
  </si>
  <si>
    <t>15.02.08, 35.02.03, 27.03.01, 27.03.02, 20.03.02, 25.04.03, 25.04.04, 38.04.08, 38.04.03, 38.04.04, 22.04.02, 23.04.03, 27.04.02, 27.04.01, 27.04.05, 19.04.03, 29.04.02, 28.03.02, 17.03.01, 26.03.02, 29.03.03, 38.03.04</t>
  </si>
  <si>
    <t>Рекомендовано в качестве учебного пособия для студентов высших учебных заведений, обучающихся по направлениям  38.03.02 «Менеджмент», 27.03.02 «Управление качеством»</t>
  </si>
  <si>
    <t>656208.06.01</t>
  </si>
  <si>
    <t>Система финанс.контроллинга бизнес-процессов в пром.холдингах: Моногр. / Е.А.Хлевная - М.:НИЦ ИНФРА-М,2024-289с(П)</t>
  </si>
  <si>
    <t>СИСТЕМА ФИНАНСОВОГО КОНТРОЛЛИНГА БИЗНЕС-ПРОЦЕССОВ В ПРОМЫШЛЕННЫХ ХОЛДИНГАХ</t>
  </si>
  <si>
    <t>Хлевная Е.А.</t>
  </si>
  <si>
    <t>978-5-16-012868-9</t>
  </si>
  <si>
    <t>378700.03.01</t>
  </si>
  <si>
    <t>Системная кибернетизация орг. упр.: Моногр. /И.Н.Дрогобыцкий-М.:Вуз.уч.,НИЦ ИНФРА-М,2018-333с(п)</t>
  </si>
  <si>
    <t>СИСТЕМНАЯ КИБЕРНЕТИЗАЦИЯ ОРГАНИЗАЦИОННОГО УПРАВЛЕНИЯ</t>
  </si>
  <si>
    <t>Дрогобыцкий И.Н.</t>
  </si>
  <si>
    <t>978-5-9558-0454-5</t>
  </si>
  <si>
    <t>01.04.02</t>
  </si>
  <si>
    <t>270600.07.01</t>
  </si>
  <si>
    <t>Системное управ. качеством и экологич. аспектами: Уч. / И.Т.Заика - Вуз. уч.:ИНФРА-М,2023 - 384с. (П)</t>
  </si>
  <si>
    <t>СИСТЕМНОЕ УПРАВЛЕНИЕ КАЧЕСТВОМ И ЭКОЛОГИЧЕСКИМИ АСПЕКТАМИ</t>
  </si>
  <si>
    <t>Заика И. Т., Смоленцев В. М., Федулов Ю. П.</t>
  </si>
  <si>
    <t>978-5-9558-0364-7</t>
  </si>
  <si>
    <t>27.04.02, 27.04.05, 38.03.02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</si>
  <si>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направлению подготовки 080200.68 «Менеджмент» (квалификация (степень) «Магистр»)</t>
  </si>
  <si>
    <t>085570.05.01</t>
  </si>
  <si>
    <t>Системный анализ в управлении: Уч.пос./Т.Н.Тимченко-М.:ИЦ РИОР,НИЦ ИНФРА-М,2018-161с(ВО:Бакалавриат)</t>
  </si>
  <si>
    <t>СИСТЕМНЫЙ АНАЛИЗ В УПРАВЛЕНИИ</t>
  </si>
  <si>
    <t>Тимченко Т. Н.</t>
  </si>
  <si>
    <t>ИД РИОР</t>
  </si>
  <si>
    <t>ВПО: Бакалавриат</t>
  </si>
  <si>
    <t>978-5-369-00238-4</t>
  </si>
  <si>
    <t>27.03.05, 38.04.05, 38.03.01, 38.03.05, 38.03.02</t>
  </si>
  <si>
    <t>634142.05.01</t>
  </si>
  <si>
    <t>Системный анализ, оптимизация и принятие реш.: Уч. / В.А.Кузнецов -М.:КУРС, НИЦ ИНФРА-М,2024-256с(П)</t>
  </si>
  <si>
    <t>СИСТЕМНЫЙ АНАЛИЗ, ОПТИМИЗАЦИЯ И ПРИНЯТИЕ РЕШЕНИЙ.</t>
  </si>
  <si>
    <t>Кузнецов В.А., Черепахин А.А.</t>
  </si>
  <si>
    <t>978-5-906818-95-9</t>
  </si>
  <si>
    <t>27.03.03, 27.03.05</t>
  </si>
  <si>
    <t>470600.06.01</t>
  </si>
  <si>
    <t>Складская логистика: Уч. / Г.Г.Иванов - М.:ИД ФОРУМ,НИЦ ИНФРА-М,2023 - 192 с.(ВО)(о)</t>
  </si>
  <si>
    <t>СКЛАДСКАЯ ЛОГИСТИКА</t>
  </si>
  <si>
    <t>Иванов Г.Г., Киреева Н.С.</t>
  </si>
  <si>
    <t>978-5-8199-0712-2</t>
  </si>
  <si>
    <t>38.02.04, 08.02.01, 15.04.04, 29.04.02, 23.03.01, 38.03.01, 42.03.03</t>
  </si>
  <si>
    <t>Рекомендовано УМС УМО по направлению «Торговое дело» в качестве учебника для студентов, обучающихся по направлению «Торговое дело»</t>
  </si>
  <si>
    <t>718545.02.01</t>
  </si>
  <si>
    <t>Совершенствование информ. обеспеч. сис. упр. кадрами..: Моногр./Бондаренко В.В.-М:ИНФРА-М,2023-255с.(О)</t>
  </si>
  <si>
    <t>СОВЕРШЕНСТВОВАНИЕ ИНФОРМАЦИОННОГО ОБЕСПЕЧЕНИЯ СИСТЕМЫ УПРАВЛЕНИЯ КАДРАМИ НА ОСНОВЕ КОМПЕТЕНТНОСТНОГО ПОДХОДА И ИНДИВИДУАЛЬНОГО ТРЕКИНГА КАРЬЕРЫ ГОСУДАРСТВЕННЫХ ГРАЖДАНСКИХ СЛУЖАЩИХ</t>
  </si>
  <si>
    <t>Алтухова Н.Ф., Беляев А.М., Бондаренко В.В. и др.</t>
  </si>
  <si>
    <t>978-5-16-015716-0</t>
  </si>
  <si>
    <t>56.05.04, 38.04.01, 38.04.02, 38.04.03, 38.04.04, 38.06.01</t>
  </si>
  <si>
    <t>379300.04.01</t>
  </si>
  <si>
    <t>Совершенствование методов антикриз.реструктуриз..:Моногр./А.Н.Ряховская-М.:НИЦ ИНФРА-М,2023-187с.(о)</t>
  </si>
  <si>
    <t>СОВЕРШЕНСТВОВАНИЕ МЕТОДОВ АНТИКРИЗИСНОЙ РЕСТРУКТУРИЗАЦИИ ГРАДООБРАЗУЮЩИХ ОРГАНИЗАЦИЙ В МУНИЦИПАЛЬНЫХ ОБРАЗОВАНИЯХ</t>
  </si>
  <si>
    <t>Ряховская А.Н., Кован С.Е.</t>
  </si>
  <si>
    <t>978-5-16-011138-4</t>
  </si>
  <si>
    <t>38.04.01, 38.04.02, 38.04.04, 38.05.01, 38.03.01, 38.03.02, 38.03.04, 44.03.05</t>
  </si>
  <si>
    <t>636338.04.01</t>
  </si>
  <si>
    <t>Современные информ. технологии в упр..: Уч.пос. / Б.Е.Одинцов и др.-М.:Вуз.уч.,НИЦ ИНФРА-М,2023-373с(П)</t>
  </si>
  <si>
    <t>СОВРЕМЕННЫЕ ИНФОРМАЦИОННЫЕ ТЕХНОЛОГИИ В УПРАВЛЕНИИ ЭКОНОМИЧЕСКОЙ ДЕЯТЕЛЬНОСТЬЮ (ТЕОРИЯ И ПРАКТИКА)</t>
  </si>
  <si>
    <t>Одинцов Б.Е., Романов А.Н., Догучаева С.М.</t>
  </si>
  <si>
    <t>978-5-9558-0517-7</t>
  </si>
  <si>
    <t>09.02.03, 40.03.01, 09.03.01, 09.03.02, 38.04.05, 09.04.03, 38.03.01, 38.03.05, 09.03.03, 38.03.02</t>
  </si>
  <si>
    <t>212700.05.01</t>
  </si>
  <si>
    <t>Современные информ.-коммуникац. технол. для успеш...: Уч.пос. / Ю.Д.Романова-М.:ИНФРА-М,2019-279с(п)</t>
  </si>
  <si>
    <t>СОВРЕМЕННЫЕ ИНФОРМАЦИОННО-КОММУНИКАЦИОННЫЕ ТЕХНОЛОГИИ ДЛЯ УСПЕШНОГО ВЕДЕНИЯ БИЗНЕСА</t>
  </si>
  <si>
    <t>Романова Ю.Д., Дьяконова Л.П., Женова Н.А. и др.</t>
  </si>
  <si>
    <t>978-5-16-006873-2</t>
  </si>
  <si>
    <t>09.03.02, 37.04.02, 38.04.01, 38.04.02, 09.04.02, 38.03.01, 38.03.02, 38.03.04, 38.03.03, 41.03.06</t>
  </si>
  <si>
    <t>Рекомендовано в качестве учебного пособия для студентов высших учебных заведений, обучающихся по направлениям подготовки 38.04.01 «Экономика», 38.04.02 «Менеджмент» (квалификация (степень) «магистр»)</t>
  </si>
  <si>
    <t>212700.07.01</t>
  </si>
  <si>
    <t>Современные информац.-коммуникац. технологии...: Уч.пос. / Ю.Д.Романова - 2 изд.-М.:НИЦ ИНФРА М,2023-257 с(П)</t>
  </si>
  <si>
    <t>СОВРЕМЕННЫЕ ИНФОРМАЦИОННО-КОММУНИКАЦИОННЫЕ ТЕХНОЛОГИИ ДЛЯ УСПЕШНОГО ВЕДЕНИЯ БИЗНЕСА, ИЗД.2</t>
  </si>
  <si>
    <t>978-5-16-017053-4</t>
  </si>
  <si>
    <t>466500.03.01</t>
  </si>
  <si>
    <t>Современные методы орг. предприним.деят. в строит.: Уч./М.Н.Юденко-М.:ИЦ РИОР, НИЦ ИНФРА-М,2020-296с(ВО)(О)</t>
  </si>
  <si>
    <t>СОВРЕМЕННЫЕ МЕТОДЫ ОРГАНИЗАЦИИ ПРЕДПРИНИМАТЕЛЬСКОЙ ДЕЯТЕЛЬНОСТИ В СТРОИТЕЛЬСТВЕ</t>
  </si>
  <si>
    <t>Юденко М.Н.</t>
  </si>
  <si>
    <t>978-5-369-01492-9</t>
  </si>
  <si>
    <t>Допущено УМО по образованию в области производственного менеджмента в качестве учебника для студентов, обучающихся по направлению подготовки «Менеджмент» по магистерской программе «Производственный менеджмент»</t>
  </si>
  <si>
    <t>Санкт-Петербургский гуманитарный университет профсоюзов</t>
  </si>
  <si>
    <t>632406.03.01</t>
  </si>
  <si>
    <t>Современные подходы к корпоративному риск-менеджм. /Д.В.Домащенко -М.:Магистр, НИЦ ИНФРА-М,2019-304с</t>
  </si>
  <si>
    <t>СОВРЕМЕННЫЕ ПОДХОДЫ К КОРПОРАТИВНОМУ РИСК-МЕНЕДЖМЕНТУ: МЕТОДЫ И ИНСТРУМЕНТЫ</t>
  </si>
  <si>
    <t>Домащенко Д.В., Финогенова Ю.Ю.</t>
  </si>
  <si>
    <t>978-5-9776-0427-7</t>
  </si>
  <si>
    <t>38.04.08</t>
  </si>
  <si>
    <t>451250.05.01</t>
  </si>
  <si>
    <t>Современные пробл. менедж. в междун. бизнесе: Моногр./В.И.Королев - Магистр: ИНФРА-М, 2023-400с.(п)</t>
  </si>
  <si>
    <t>СОВРЕМЕННЫЕ ПРОБЛЕМЫ МЕНЕДЖМЕНТА В МЕЖДУНАРОДНОМ БИЗНЕСЕ</t>
  </si>
  <si>
    <t>Королев В. И., Зайцев Л. Г., Заикин А. Д., Королев В. И.</t>
  </si>
  <si>
    <t>978-5-9776-0291-4</t>
  </si>
  <si>
    <t>42.03.01, 07.03.03, 35.03.03, 27.03.02, 29.03.02, 19.03.04, 38.04.01, 38.04.02, 23.03.01, 35.03.09, 38.03.01, 38.03.02, 44.03.01, 44.03.05, 45.03.01, 35.03.04, 45.03.03, 51.03.01, 41.03.06, 51.03.02</t>
  </si>
  <si>
    <t>452350.03.01</t>
  </si>
  <si>
    <t>Современные проблемы менеджмента: Моногр. / С.Д.Резник-М.:НИЦ ИНФРА-М,2017-243с.(Науч.мысль)(О)</t>
  </si>
  <si>
    <t>СОВРЕМЕННЫЕ ПРОБЛЕМЫ МЕНЕДЖМЕНТА</t>
  </si>
  <si>
    <t>978-5-16-009239-3</t>
  </si>
  <si>
    <t>654574.06.01</t>
  </si>
  <si>
    <t>Современные работники: личностные характер., особенности обуч.: Моногр. - М.:НИЦ ИНФРА-М,2023-142с(О)</t>
  </si>
  <si>
    <t>СОВРЕМЕННЫЕ РАБОТНИКИ: ЛИЧНОСТНЫЕ ХАРАКТЕРИСТИКИ, ОСОБЕННОСТИ ОБУЧЕНИЯ</t>
  </si>
  <si>
    <t>Сухова Е.В.</t>
  </si>
  <si>
    <t>978-5-16-012747-7</t>
  </si>
  <si>
    <t>38.04.02, 38.04.03, 23.03.01, 38.03.01, 38.03.02, 38.03.04, 38.03.03, 44.03.01, 41.03.06, 51.03.02</t>
  </si>
  <si>
    <t>Медицинский университет "Реавиз"</t>
  </si>
  <si>
    <t>664231.06.01</t>
  </si>
  <si>
    <t>Современные системы упр. деятельностью: Уч. / Р.А.Попов - М.:НИЦ ИНФРА-М,2022-309 с.-(ВО: Магистратура)(П)</t>
  </si>
  <si>
    <t>СОВРЕМЕННЫЕ СИСТЕМЫ УПРАВЛЕНИЯ ДЕЯТЕЛЬНОСТЬЮ</t>
  </si>
  <si>
    <t>Попов Р.А.</t>
  </si>
  <si>
    <t>978-5-16-016191-4</t>
  </si>
  <si>
    <t>40.03.01, 38.04.01, 38.04.02, 38.04.04, 08.04.01</t>
  </si>
  <si>
    <t>Рекомендовано в качестве учебника для студентов высших учебных заведений, обучающихся по направлениям подготовки 08.04.01 «Строительство», 38.04.01 «Экономика», 38.04.02 «Менеджмент» (квалификация (степень) «магистр»)</t>
  </si>
  <si>
    <t>654651.03.01</t>
  </si>
  <si>
    <t>Современные технологии кадрового менеджмента..: Моногр. / О.Л.Чуланова-М.:НИЦ ИНФРА-М,2020-364с(П)</t>
  </si>
  <si>
    <t>СОВРЕМЕННЫЕ ТЕХНОЛОГИИ КАДРОВОГО МЕНЕДЖМЕНТА: АКТУАЛИЗАЦИЯ В РОССИЙСКОЙ ПРАКТИКЕ, ВОЗМОЖНОСТИ, РИСКИ</t>
  </si>
  <si>
    <t>978-5-16-012782-8</t>
  </si>
  <si>
    <t>38.04.03, 23.03.01, 38.03.01, 38.03.03, 44.03.01, 41.03.06, 51.03.02</t>
  </si>
  <si>
    <t>174600.06.01</t>
  </si>
  <si>
    <t>Современные технологии менеджмента: Уч. / В.И.Королев - М.: Магистр:  НИЦ Инфра-М, 2022-640с. (п)</t>
  </si>
  <si>
    <t>СОВРЕМЕННЫЕ ТЕХНОЛОГИИ МЕНЕДЖМЕНТА</t>
  </si>
  <si>
    <t>Королев В. И., Уваров В. В., Заикин А. Д., Кочетков В. В., Королев В. И.</t>
  </si>
  <si>
    <t>978-5-9776-0218-1</t>
  </si>
  <si>
    <t>35.02.12, 42.03.01, 38.04.05, 38.03.05, 38.03.02, 44.03.01, 41.03.06</t>
  </si>
  <si>
    <t>Рекомендовано ФГБОУ ВПО "Государственный университет управления" в качестве учебника для студентов вузов, обучающихся по специальности 080500 "Менеджмент"</t>
  </si>
  <si>
    <t>766634.01.01</t>
  </si>
  <si>
    <t>Современные технологии управ. персоналом: Уч. / А.А.Литвинюк.-М.:НИЦ ИНФРА-М,2023.-220 с.(ВО (РЭУ))(п)</t>
  </si>
  <si>
    <t>СОВРЕМЕННЫЕ ТЕХНОЛОГИИ УПРАВЛЕНИЯ ПЕРСОНАЛОМ</t>
  </si>
  <si>
    <t>Литвинюк А.А., Бабынина Л.С., Иванова-Швец Л.Н. и др.</t>
  </si>
  <si>
    <t>978-5-16-017618-5</t>
  </si>
  <si>
    <t>38.04.01, 38.04.02, 38.03.02, 38.03.03</t>
  </si>
  <si>
    <t>Март, 2023</t>
  </si>
  <si>
    <t>156850.09.01</t>
  </si>
  <si>
    <t>Современный менеджмент: Уч. / М.М.Максимцов-М.:Вуз. уч., НИЦ ИНФРА-М,2024.-299 с.(п)</t>
  </si>
  <si>
    <t>СОВРЕМЕННЫЙ МЕНЕДЖМЕНТ</t>
  </si>
  <si>
    <t>Максимцов М.М.</t>
  </si>
  <si>
    <t>978-5-9558-0383-8</t>
  </si>
  <si>
    <t>418400.09.01</t>
  </si>
  <si>
    <t>Современный стратегический анализ: Уч./Л.Е.Басовский - М.: ИНФРА-М, 2024 - 256 с. (ВО: Магистратура)</t>
  </si>
  <si>
    <t>СОВРЕМЕННЫЙ СТРАТЕГИЧЕСКИЙ АНАЛИЗ</t>
  </si>
  <si>
    <t>978-5-16-005655-5</t>
  </si>
  <si>
    <t>Рекомендовано Учебно-методическим объединением вузов России по образованию в области менеджмента в качестве учебного пособия для студентов высших учебных заведений, обучающихся по направлению 080200.68 «Менеджмент» (магистратура)</t>
  </si>
  <si>
    <t>632565.03.01</t>
  </si>
  <si>
    <t>Социально-правовые исследования в регионах: Моногр. / Ю.А.Тихомиров-М.:НИЦ ИНФРА-М,2020-256с.(ИЗиСП)</t>
  </si>
  <si>
    <t>СОЦИАЛЬНО-ПРАВОВЫЕ ИССЛЕДОВАНИЯ В РЕГИОНАХ</t>
  </si>
  <si>
    <t>Тихомиров Ю.А., Андриченко Л.В., Боголюбов С.А. и др.</t>
  </si>
  <si>
    <t>978-5-16-012001-0</t>
  </si>
  <si>
    <t>40.03.01, 40.04.01, 38.04.01, 38.04.04, 38.03.01, 38.03.04</t>
  </si>
  <si>
    <t>009152.11.01</t>
  </si>
  <si>
    <t>Социология управления: Уч. / М.В.Удальцова - 2 изд. - М.:НИЦ ИНФРА-М,2023 - 150 с.(ВО)(О)</t>
  </si>
  <si>
    <t>СОЦИОЛОГИЯ УПРАВЛЕНИЯ, ИЗД.2</t>
  </si>
  <si>
    <t>Удальцова М. В.</t>
  </si>
  <si>
    <t>978-5-16-011285-5</t>
  </si>
  <si>
    <t>42.03.01, 27.04.07, 41.04.04, 38.03.02, 38.03.04, 38.03.03, 39.03.01, 37.03.02, 41.03.06</t>
  </si>
  <si>
    <t>Рекомендовано в качестве учебника для студентов высших учебных заведений, обучающихся по направлению подготовки 38.03.02 «Менеджмент», (квалификация (степень) «бакалавр»)</t>
  </si>
  <si>
    <t>208700.07.01</t>
  </si>
  <si>
    <t>Средства и методы управления качеством: Уч. пос. / Л.В.Виноградов - М.: ИНФРА-М, 2022-220с.(ВО: Бакалавр.) (п)</t>
  </si>
  <si>
    <t>СРЕДСТВА И МЕТОДЫ УПРАВЛЕНИЯ КАЧЕСТВОМ</t>
  </si>
  <si>
    <t>Виноградов Л. В., Семенов В. П., Бурылов В. С.</t>
  </si>
  <si>
    <t>978-5-16-005584-8</t>
  </si>
  <si>
    <t>27.03.02, 38.04.02, 27.04.02, 38.03.02, 41.03.06</t>
  </si>
  <si>
    <t>Допущено УМО по образованию в области производственного менеджмента в качестве учебного пособия для студентов, обучающихся по направлению подготовки 080200 «Менеджмент" (профиль «Производственный менеджмент»)</t>
  </si>
  <si>
    <t>160850.14.01</t>
  </si>
  <si>
    <t>Статистический анализ данных в MS Excel: Уч.пос. / А.Ю.Козлов - М.:НИЦ ИНФРА-М,2022 - 320с.(ВО)(П)</t>
  </si>
  <si>
    <t>СТАТИСТИЧЕСКИЙ АНАЛИЗ ДАННЫХ В MS EXCEL</t>
  </si>
  <si>
    <t>Козлов А.Ю., Мхитарян В.С., Шишов В.Ф.</t>
  </si>
  <si>
    <t>978-5-16-004579-5</t>
  </si>
  <si>
    <t>38.04.01, 38.04.08, 38.04.02, 38.03.01</t>
  </si>
  <si>
    <t>Рекомендовано УМО по образованию в области статистики в качестве учебного пособия для студентов высших учебных заведений, обучающихся по экономическим специальностям</t>
  </si>
  <si>
    <t>781987.02.01</t>
  </si>
  <si>
    <t>Стратегии организаций: Уч. / Под ред. Ивановой О.П.-М.:НИЦ ИНФРА-М,2024.-340 с.(ВО)(п)</t>
  </si>
  <si>
    <t>СТРАТЕГИИ ОРГАНИЗАЦИЙ</t>
  </si>
  <si>
    <t>978-5-16-018428-9</t>
  </si>
  <si>
    <t>38.04.01, 38.04.02, 38.04.03, 27.04.02, 27.04.03, 38.03.01, 38.03.02</t>
  </si>
  <si>
    <t>Допущено Учебно-методическим объединением вузов России по образованию в области производственного менеджмента для студентов высших учебных заведений, обучающихся по направлению подготовки 38.03.02 «Менеджмент» (профиль «Производственный менеджмент»), а также для подготовки студентов технологических направлений и специальностей по дисциплинам экономико-организационного и управленческого циклов</t>
  </si>
  <si>
    <t>437150.05.01</t>
  </si>
  <si>
    <t>Стратегии управления компаниями: Уч. пос. / В.И.Грушенко -М.: НИЦ ИНФРА-М, 2023. -336 с -(ВО) (п)</t>
  </si>
  <si>
    <t>СТРАТЕГИИ УПРАВЛЕНИЯ КОМПАНИЯМИ. ОТ ТЕОРИИ К ПРАКТИЧЕСКОЙ РАЗРАБОТКЕ И РЕАЛИЗАЦИИ</t>
  </si>
  <si>
    <t>978-5-16-006721-6</t>
  </si>
  <si>
    <t>38.04.02, 27.04.05, 38.03.02, 44.03.05, 41.03.06</t>
  </si>
  <si>
    <t>Допущено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38.04.02 «Менеджмент» (квалификация (степень) «магистр»)</t>
  </si>
  <si>
    <t>429300.05.01</t>
  </si>
  <si>
    <t>Стратегический контроллинг: Уч. пос. / В.Б.Ивашкевич - М.:Магистр, НИЦ ИНФРА-М,2020.-216 с.(О)</t>
  </si>
  <si>
    <t>СТРАТЕГИЧЕСКИЙ КОНТРОЛЛИНГ</t>
  </si>
  <si>
    <t>Ивашкевич В. Б.</t>
  </si>
  <si>
    <t>978-5-9776-0260-0</t>
  </si>
  <si>
    <t>Казанский (Приволжский) федеральный университет</t>
  </si>
  <si>
    <t>402800.07.01</t>
  </si>
  <si>
    <t>Стратегический менеджм. в инновацион. орг...: Уч./А.В.Андрейчиков-М.:Вуз.уч:Инфра-М,2013-396с (п)</t>
  </si>
  <si>
    <t>СТРАТЕГИЧЕСКИЙ МЕНЕДЖМЕНТ В ИННОВАЦИОННЫХ ОРГАНИЗАЦИЯХ. СИСТЕМНЫЙ АНАЛИЗ И ПРИНЯТИЕ РЕШЕНИЙ</t>
  </si>
  <si>
    <t>Андрейчиков А. В., Андрейчикова О. Н.</t>
  </si>
  <si>
    <t>978-5-9558-0225-1</t>
  </si>
  <si>
    <t>27.03.02, 27.03.05, 27.04.07, 09.04.03, 27.04.02, 27.04.04, 27.04.05, 09.03.03</t>
  </si>
  <si>
    <t>Рекомендовано Учебно-методическим объединением по университетскому политехническому образованию в качестве учебника для студентов высших учебных заведений, обучающихся по направлению «Инноватика» и специальности «Управление инновациями»</t>
  </si>
  <si>
    <t>425450.05.01</t>
  </si>
  <si>
    <t>Стратегический менеджмент на..: Уч.пос. / С.А.Сироткин-М.:НИЦ ИНФРА-М, Изд-во Урал. ун-та,2023.-246 с.(П)</t>
  </si>
  <si>
    <t>СТРАТЕГИЧЕСКИЙ МЕНЕДЖМЕНТ НА ПРЕДПРИЯТИИ</t>
  </si>
  <si>
    <t>Сироткин С. А., Кельчевская Н. Р.</t>
  </si>
  <si>
    <t>978-5-16-006589-2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</si>
  <si>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080200.62 «Менеджмент» (квалификация (степень) «бака</t>
  </si>
  <si>
    <t>Уральский федеральный университет им. первого Президента России Б.Н. Ельцина</t>
  </si>
  <si>
    <t>019226.19.01</t>
  </si>
  <si>
    <t>Стратегический менеджмент. Курс лекций: Уч. пос./ В.Д.Маркова-М:НИЦ Инфра-М,2023-288с.(ВО:Бакалавр.) (о)</t>
  </si>
  <si>
    <t>СТРАТЕГИЧЕСКИЙ МЕНЕДЖМЕНТ. КУРС ЛЕКЦИЙ</t>
  </si>
  <si>
    <t>Маркова В. Д., Кузнецова С. А.</t>
  </si>
  <si>
    <t>978-5-16-002298-7</t>
  </si>
  <si>
    <t>38.05.01, 38.05.02, 38.03.01, 38.03.05, 38.03.06, 38.03.07, 38.03.02, 38.03.04, 38.03.03, 44.03.05</t>
  </si>
  <si>
    <t>Рекомендовано Министерством образования РФ в качестве учебного пособия для студентов высших учебных заведений, обучающихся по экономическим специальностям</t>
  </si>
  <si>
    <t>Институт экономики и организации промышленного производства Сибирского отделения Российской академии</t>
  </si>
  <si>
    <t>651574.04.01</t>
  </si>
  <si>
    <t>Стратегический менеджмент. Модели и процедуры: Моногр./ В.А.Агафонов-М.:НИЦ ИНФРА-М,2023-276с.(П)</t>
  </si>
  <si>
    <t>СТРАТЕГИЧЕСКИЙ МЕНЕДЖМЕНТ. МОДЕЛИ И ПРОЦЕДУРЫ</t>
  </si>
  <si>
    <t>Агафонов В.А.</t>
  </si>
  <si>
    <t>978-5-16-012616-6</t>
  </si>
  <si>
    <t>38.04.01, 38.04.02, 38.04.04, 38.03.01, 38.03.02, 38.03.04, 44.03.05, 41.03.06</t>
  </si>
  <si>
    <t>159900.10.01</t>
  </si>
  <si>
    <t>Стратегический менеджмент: понятия, концепции...: Справ. пос. / В.Д.Маркова - М.: ИНФРА-М,2022-320с(о)</t>
  </si>
  <si>
    <t>СТРАТЕГИЧЕСКИЙ МЕНЕДЖМЕНТ: ПОНЯТИЯ, КОНЦЕПЦИИ, ИНСТРУМЕНТЫ ПРИНЯТИЯ РЕШЕНИЙ</t>
  </si>
  <si>
    <t>Справочники "ИНФРА-М"</t>
  </si>
  <si>
    <t>978-5-16-009860-9</t>
  </si>
  <si>
    <t>38.04.08, 38.04.02, 38.04.04, 38.03.02, 38.03.04, 44.03.05, 41.03.06</t>
  </si>
  <si>
    <t>652880.04.01</t>
  </si>
  <si>
    <t>Стратегический менеджмент: Уч. / А.П.Егоршин - 2 изд. - М.:НИЦ ИНФРА-М,2023 - 290 с.-(ВО)(П)</t>
  </si>
  <si>
    <t>СТРАТЕГИЧЕСКИЙ МЕНЕДЖМЕНТ, ИЗД.2</t>
  </si>
  <si>
    <t>Егоршин А.П., Гуськова И.В.</t>
  </si>
  <si>
    <t>978-5-16-018619-1</t>
  </si>
  <si>
    <t>38.03.01, 38.03.05, 38.03.06, 38.03.07, 38.03.02, 38.03.04, 38.03.03, 44.03.05, 41.03.06</t>
  </si>
  <si>
    <t>Допущено Советом Учебно-методического объединения вузов России по образованию в области менеджмента в качестве учебника для студентов вузов, обучающихся по направлениям «Менеджмент» и «Управление персоналом»</t>
  </si>
  <si>
    <t>675083.01.01</t>
  </si>
  <si>
    <t>Стратегический менеджмент: Уч. / Г.Н.Степанова-М.:НИЦ ИНФРА-М,2023.-261 с.(ВО: Бакалавриат)(П)</t>
  </si>
  <si>
    <t>СТРАТЕГИЧЕСКИЙ МЕНЕДЖМЕНТ</t>
  </si>
  <si>
    <t>Степанова Г.Н., Бирюков В.А., Ливсон М.В.</t>
  </si>
  <si>
    <t>978-5-16-017616-1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</si>
  <si>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38.03.02 «Менеджмент» (квалификация (степень) «бакалавр») (протокол № 6 от 08.06.2022)</t>
  </si>
  <si>
    <t>171000.11.01</t>
  </si>
  <si>
    <t>Стратегический менеджмент: Уч. / Л.Е.Басовский-М.:НИЦ ИНФРА-М,2024.-365 с..-(ВО)(П)</t>
  </si>
  <si>
    <t>978-5-16-005115-4</t>
  </si>
  <si>
    <t>38.04.02, 38.04.04, 38.03.01, 38.03.02, 38.03.04, 44.03.05, 41.03.06</t>
  </si>
  <si>
    <t>Рекомендовано Советом Учебно-методического объединения ВУЗов России по образованию в области менеджмента в качестве учебника по направлению "Менеджмент"</t>
  </si>
  <si>
    <t>176700.09.01</t>
  </si>
  <si>
    <t>Стратегический менеджмент: Уч. / Н.А. Казакова - М.: НИЦ Инфра-М, 2023-320с.(ВО) (п)</t>
  </si>
  <si>
    <t>Казакова Н. А., Александрова А. В., Курашова С. А., Кондрашева Н. Н., Казакова Н. А.</t>
  </si>
  <si>
    <t>978-5-16-005028-7</t>
  </si>
  <si>
    <t>38.04.09, 38.04.07, 38.04.01, 38.04.08, 38.04.06, 38.04.02, 38.04.03, 38.04.04, 38.04.05, 38.05.01, 38.05.02, 38.03.01, 38.03.05, 38.03.06, 38.03.07, 38.03.02, 38.03.04, 38.03.03, 44.03.05, 41.03.06</t>
  </si>
  <si>
    <t>Рекомендовано Советом Учебно-методического объединения вузов России по образованию в области менеджмента в качестве учебного пособия  по направлению 080200 "Менеджмент" и специальности 080507 "Менеджмент организации"</t>
  </si>
  <si>
    <t>661011.02.01</t>
  </si>
  <si>
    <t>Стратегический менеджмент: Уч. / С.А.Сироткин-М.:НИЦ ИНФРА-М,2023.-263 с.(ВО: Бакалавр. (УрФУ))(П)</t>
  </si>
  <si>
    <t>Сироткин С.А., Кельчевская Н.Р.</t>
  </si>
  <si>
    <t>Высшее образование: Бакалавриат (УрФУ)</t>
  </si>
  <si>
    <t>978-5-16-013815-2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</si>
  <si>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направлениям подготовки 38.03.01 «Экономика», 38.03.02 «Менеджмент» (квалификация (степень) «бакалавр») (протокол № 8 от 22.06.2020)</t>
  </si>
  <si>
    <t>155250.06.01</t>
  </si>
  <si>
    <t>Стратегический менеджмент: Уч. / Ю.В.Гуськов - М.:НИЦ ИНФРА-М,2024 - 271 с.(ВО: Бакалавриат)(П)</t>
  </si>
  <si>
    <t>Гуськов Ю.В., Гуськова Т.В.</t>
  </si>
  <si>
    <t>978-5-16-016310-9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</si>
  <si>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38.03.04 «Государственное и муниципальное управление» (квалификация (степень) «бакалавр») (протокол № 6 от 16.06.2021)</t>
  </si>
  <si>
    <t>Московский городской педагогический университет</t>
  </si>
  <si>
    <t>175750.09.01</t>
  </si>
  <si>
    <t>Стратегический менеджмент: Уч. пос. / Е.В. Романов. - 2 изд. - М.: НИЦ Инфра-М, 2023-160с.(ВО) (п)</t>
  </si>
  <si>
    <t>Романов Е. В.</t>
  </si>
  <si>
    <t>978-5-16-005135-2</t>
  </si>
  <si>
    <t>38.04.01, 38.04.02, 38.04.04, 38.03.02, 38.03.04, 44.03.05, 41.03.06</t>
  </si>
  <si>
    <t>078850.10.01</t>
  </si>
  <si>
    <t>Стратегический менеджмент: Уч. пос./ Ю.Н. Лапыгин. - 2 изд. - М.: НИЦ ИНФРА-М, 2024. - 208 с.(ВО)(П)</t>
  </si>
  <si>
    <t>Лапыгин Ю. Н.</t>
  </si>
  <si>
    <t>978-5-16-006592-2</t>
  </si>
  <si>
    <t>43.03.01, 42.04.01, 38.04.01, 38.04.02, 38.04.03, 38.04.04, 38.03.01, 38.03.02, 38.03.04, 38.03.03, 44.03.05, 41.03.06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</si>
  <si>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направлениям подготовки 080200.62 «Менеджмент», 081100 «Государственное и м</t>
  </si>
  <si>
    <t>Российская академия народного хозяйства и государственной службы при Президенте РФ, Владимирский ф-л</t>
  </si>
  <si>
    <t>417850.04.01</t>
  </si>
  <si>
    <t>Стратегический менеджмент: Уч. пос./А.В.Курлыкова - М.: ИЦ РИОР: ИНФРА-М, 2020-176с.(ВО: Бакалавр.) (п)</t>
  </si>
  <si>
    <t>Курлыкова А. В.</t>
  </si>
  <si>
    <t>978-5-369-01143-0</t>
  </si>
  <si>
    <t>38.04.01, 38.04.02, 38.04.04, 38.05.01, 38.05.02, 38.03.01, 38.03.02, 38.03.04, 38.03.03, 44.03.05, 41.03.06</t>
  </si>
  <si>
    <t>Рекомендовано ФГБОУ ВПО «Государственный университет управлений" в качестве учебного пособия для студентов высших учебных заведений, обучающихся по направлению 080200.62 -Менеджмент» (квалификация (степень) «бакалавр»)</t>
  </si>
  <si>
    <t>249100.05.01</t>
  </si>
  <si>
    <t>Стратегический менеджмент: уч.пос. / А.Б.Савченко-М.:ИЦ РИОР, НИЦ ИНФРА-М,2024.-228 с..-(ВО: Бакалавриат)(о)</t>
  </si>
  <si>
    <t>Савченко А.Б.</t>
  </si>
  <si>
    <t>978-5-369-01305-2</t>
  </si>
  <si>
    <t>38.04.01, 38.04.02, 38.04.04, 38.03.01, 38.03.02, 38.03.04, 44.03.05</t>
  </si>
  <si>
    <t>074500.13.01</t>
  </si>
  <si>
    <t>Стратегический менеджмент: Уч.пос. / В.А.Баринов, - 2-е изд.-М.:НИЦ ИНФРА-М,2024.-294 с.(ВО: Бакалавр.)(п)</t>
  </si>
  <si>
    <t>Баринов В.А., Бусалов Д.Ю.</t>
  </si>
  <si>
    <t>978-5-16-016936-1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</si>
  <si>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6 от 16.06.2021)</t>
  </si>
  <si>
    <t>074500.11.01</t>
  </si>
  <si>
    <t>Стратегический менеджмент: уч.пос. / В.А.Баринов-М.:ИНФРА-М Издательский Дом,2019.-285 с..-(ВО)(П 7БЦ)</t>
  </si>
  <si>
    <t>Баринов В. А., Харченко В. Л.</t>
  </si>
  <si>
    <t>978-5-16-002589-6</t>
  </si>
  <si>
    <t>Рекомендовано УМО в области менеджмента в качестве учебного пособия по специальности 080507 "Менеджмент организации", 080503 "Антикризисное управление" и другим экономическим специальностям</t>
  </si>
  <si>
    <t>045080.10.01</t>
  </si>
  <si>
    <t>Стратегический менеджмент: Уч.пос. / В.Н.Родионова - 3 изд. - М.:ИЦ РИОР,НИЦ ИНФРА-М,2020 - 106с.(О)</t>
  </si>
  <si>
    <t>СТРАТЕГИЧЕСКИЙ МЕНЕДЖМЕНТ, ИЗД.3</t>
  </si>
  <si>
    <t>Родионова В. Н.</t>
  </si>
  <si>
    <t>978-5-369-01643-5</t>
  </si>
  <si>
    <t>15.02.07, 08.02.01, 08.02.04, 40.02.01, 38.02.07, 38.02.01, 38.02.03, 35.03.02, 20.03.02, 38.04.01, 38.04.06, 38.04.02, 38.04.03, 38.04.04, 27.04.05, 38.05.01, 23.03.03, 17.03.01, 26.03.02, 29.03.03, 38.03.01, 38.03.06, 38.03.07, 38.03.02, 38.03.04, 38.03.03, 44.03.01, 44.03.05, 41.03.06</t>
  </si>
  <si>
    <t>140350.07.01</t>
  </si>
  <si>
    <t>Стратегический менеджмент: Уч.пос. / М.М.Купцов-3 изд.-М.:ИЦ РИОР, ИНФРА-М Издательский Дом,2024.-184 с.(ВО)(п)</t>
  </si>
  <si>
    <t>Купцов М. М.</t>
  </si>
  <si>
    <t>978-5-369-00634-4</t>
  </si>
  <si>
    <t>43.02.10, 38.02.01, 38.04.02, 38.04.03, 38.04.04, 38.03.01, 38.03.02, 38.03.04, 38.03.03, 44.03.01, 44.03.05, 41.03.06</t>
  </si>
  <si>
    <t>077080.05.01</t>
  </si>
  <si>
    <t>Стратегический менеджмент: Шпаргалка-М.:ИЦ РИОР, НИЦ ИНФРА-М,2016.-79 с..-(Шпаргалка [отрывная])(О)</t>
  </si>
  <si>
    <t>978-5-369-00658-0</t>
  </si>
  <si>
    <t>38.03.01, 38.03.06, 38.03.07, 38.03.02, 38.03.04, 38.03.03, 44.03.05</t>
  </si>
  <si>
    <t>763303.01.01</t>
  </si>
  <si>
    <t>Стратегический учет и анализ: Уч.пос. / С.А.Бороненкова-М.:НИЦ ИНФРА-М,2023.-272 с.(ВО: Магистр.)(П)</t>
  </si>
  <si>
    <t>СТРАТЕГИЧЕСКИЙ УЧЕТ И АНАЛИЗ</t>
  </si>
  <si>
    <t>Бороненкова С.А., Чепулянис А.В.</t>
  </si>
  <si>
    <t>978-5-16-017313-9</t>
  </si>
  <si>
    <t>38.04.02, 38.05.01</t>
  </si>
  <si>
    <t>Рекомендовано Методическим советом по учебно-методическим вопросам и качеству образования Уральского государственного экономического университета в качестве учебного пособия для обучающихся в высших учебных заведениях по направлениям подготовки УГСН 38.00.00 «Экономика и управление»</t>
  </si>
  <si>
    <t>727930.04.01</t>
  </si>
  <si>
    <t>Стратегическое планир. в гос. секторе экономики: Моногр. / Под ред. Сильвестрова С.Н.-М.:НИЦ ИНФРА-М,2023.-344 с.(П)</t>
  </si>
  <si>
    <t>СТРАТЕГИЧЕСКОЕ ПЛАНИРОВАНИЕ В ГОСУДАРСТВЕННОМ СЕКТОРЕ ЭКОНОМИКИ</t>
  </si>
  <si>
    <t>Сильвестров С.Н., Старовойтов В.Г., Бауэр В.П. и др.</t>
  </si>
  <si>
    <t>978-5-16-016105-1</t>
  </si>
  <si>
    <t>38.04.01, 38.04.02, 38.04.04, 38.06.01</t>
  </si>
  <si>
    <t>689199.02.01</t>
  </si>
  <si>
    <t>Стратегическое рук. глобальным бизнесом: Уч. / А.Г.Дементьева - М.:Магистр,НИЦ ИНФРА-М,2020-608с(П)</t>
  </si>
  <si>
    <t>СТРАТЕГИЧЕСКОЕ РУКОВОДСТВО ГЛОБАЛЬНЫМ БИЗНЕСОМ</t>
  </si>
  <si>
    <t>Дементьева А.Г., Соколова М.И.</t>
  </si>
  <si>
    <t>978-5-9776-0477-2</t>
  </si>
  <si>
    <t>656555.02.01</t>
  </si>
  <si>
    <t>Стратегическое управление изменениями: Уч. / О.В.Кожевина - М.:НИЦ ИНФРА-М,2024 - 465 с.(ВО)(п)</t>
  </si>
  <si>
    <t>СТРАТЕГИЧЕСКОЕ УПРАВЛЕНИЕ ИЗМЕНЕНИЯМИ</t>
  </si>
  <si>
    <t>Кожевина О.В., Салиенко Н.В.</t>
  </si>
  <si>
    <t>978-5-16-019213-0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</si>
  <si>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38.03.02 «Менеджмент», 38.03.03 «Управление персоналом», 38.03.04 «Государственное и муниципальное управление» (квалификация (степень) «бакалавр») (протокол № 7 от 22.09.2021)</t>
  </si>
  <si>
    <t>313800.05.01</t>
  </si>
  <si>
    <t>Стратегическое управление финансами: как добиться.. / В.А.Кашин-М.:Магистр,НИЦ ИНФРА-М,2024-176с.(о)</t>
  </si>
  <si>
    <t>СТРАТЕГИЧЕСКОЕ УПРАВЛЕНИЕ ФИНАНСАМИ: КАК ДОБИТЬСЯ ЛИЧНОГО ФИНАНСОВОГО БЛАГОПОЛУЧИЯ</t>
  </si>
  <si>
    <t>Кашин В.А., Панков В.В., Перов В.И.</t>
  </si>
  <si>
    <t>978-5-9776-0346-1</t>
  </si>
  <si>
    <t>38.04.01, 38.04.08, 38.04.02, 38.06.01, 38.07.02, 38.03.01, 38.03.02</t>
  </si>
  <si>
    <t>633744.02.01</t>
  </si>
  <si>
    <t>Стратегия восстанов. конкурент..: Моногр. / В.А.Баринов-М.:ИЦ РИОР,НИЦ ИНФРА-М,2019-274с(Науч.мысль)</t>
  </si>
  <si>
    <t>СТРАТЕГИЯ ВОССТАНОВЛЕНИЯ КОНКУРЕНТОСПОСОБНОСТИ ОТЕЧЕСТВЕННОЙ РАКЕТНО-КОСМИЧЕСКОЙ ПРОМЫШЛЕННОСТИ</t>
  </si>
  <si>
    <t>Баринов В.А., Окатьев Н.А.</t>
  </si>
  <si>
    <t>978-5-369-01567-4</t>
  </si>
  <si>
    <t>25.00.00, 24.03.01, 38.04.01, 38.04.02, 24.04.01, 24.05.04, 24.05.01</t>
  </si>
  <si>
    <t>665070.06.01</t>
  </si>
  <si>
    <t>Стратегия кадрового менеджмента: Уч.пос. / О.А.Вдовина и др. - М.:НИЦ ИНФРА-М,2020 - 210 с.-(ВО)(П)</t>
  </si>
  <si>
    <t>СТРАТЕГИЯ КАДРОВОГО МЕНЕДЖМЕНТА</t>
  </si>
  <si>
    <t>Вдовина О.А., Резник С.Д., Сазыкина О.А. и др.</t>
  </si>
  <si>
    <t>978-5-16-013089-7</t>
  </si>
  <si>
    <t>37.04.02, 38.04.04, 38.03.01, 38.03.02, 38.03.03, 41.03.06</t>
  </si>
  <si>
    <t>Рекомендовано советом Учебно-методического объединения по образованию в области менеджмента в качестве учебного пособия для обучающихся по программам высшего образования по направлению подготовки 38.04.02 «Менеджмент» (квалификация (степень) «магистр»)</t>
  </si>
  <si>
    <t>665070.07.01</t>
  </si>
  <si>
    <t>Стратегия кадрового менеджмента: Уч.пос. / С.Д.Резник - 2 изд.-М.:НИЦ ИНФРА-М,2023.-211 с.(ВО: Магистр.)(П)</t>
  </si>
  <si>
    <t>СТРАТЕГИЯ КАДРОВОГО МЕНЕДЖМЕНТА, ИЗД.2</t>
  </si>
  <si>
    <t>Резник С.Д., Вдовина О.А., Сазыкина О.А. и др.</t>
  </si>
  <si>
    <t>978-5-16-017835-6</t>
  </si>
  <si>
    <t>634683.03.01</t>
  </si>
  <si>
    <t>Стратегия развития ремонтных служб предпр.: Моногр. / Н.Т.Баскакова.-М.:НИЦ ИНФРА-М,2023.-255 с.(О)</t>
  </si>
  <si>
    <t>СТРАТЕГИЯ РАЗВИТИЯ РЕМОНТНЫХ СЛУЖБ ПРЕДПРИЯТИЯ</t>
  </si>
  <si>
    <t>Баскакова Н.Т., Якобсон З.В., Симаков Д.Б.</t>
  </si>
  <si>
    <t>978-5-16-016298-0</t>
  </si>
  <si>
    <t>20.03.02, 38.04.01, 38.04.08, 38.04.06, 38.04.02, 38.04.03, 38.04.04, 38.04.05, 23.03.03, 29.03.03, 38.03.01, 38.03.05, 38.03.06, 38.03.07, 38.03.02, 38.03.04, 38.03.03, 44.03.01, 41.03.06</t>
  </si>
  <si>
    <t>723065.01.01</t>
  </si>
  <si>
    <t>Стратегия управ. корпоративными финансами...: Моногр. / М.В.Чараева-М.:НИЦ ИНФРА-М,2021.-218 с.(Науч.мысль)(О)</t>
  </si>
  <si>
    <t>СТРАТЕГИЯ УПРАВЛЕНИЯ КОРПОРАТИВНЫМИ ФИНАНСАМИ: ИНВЕСТИЦИИ И РИСКИ</t>
  </si>
  <si>
    <t>978-5-16-015877-8</t>
  </si>
  <si>
    <t>298800.04.01</t>
  </si>
  <si>
    <t>Студент вуза: технологии и орг. обуч. в вузе: Уч. / С.Д.Резник - 4 изд.-М.:НИЦ ИНФРА-М,2019-366с(ВО)</t>
  </si>
  <si>
    <t>СТУДЕНТ ВУЗА: ТЕХНОЛОГИИ И ОРГАНИЗАЦИЯ ОБУЧЕНИЯ В ВУЗЕ, ИЗД.4</t>
  </si>
  <si>
    <t>Резник С.Д., Резник С.Д.</t>
  </si>
  <si>
    <t>978-5-16-010134-7</t>
  </si>
  <si>
    <t>298800.07.01</t>
  </si>
  <si>
    <t>Студент вуза: технологии и орг. обуч: Уч. / С.Д.Резник - 5 изд.-М.:НИЦ ИНФРА-М,2023-391с(ВО)</t>
  </si>
  <si>
    <t>СТУДЕНТ ВУЗА: ТЕХНОЛОГИИ И ОРГАНИЗАЦИЯ ОБУЧЕНИЯ, ИЗД.5</t>
  </si>
  <si>
    <t>978-5-16-014782-6</t>
  </si>
  <si>
    <t>Допущено Советом Учебно-методического объединения вузов России по образованию в области менеджмента в качестве учебника для студентов высших учебных заведений, обучающихся по направлению подготовки 38.03.02 «Менеджмент» (квалификация (степень) «Бакалавр»)</t>
  </si>
  <si>
    <t>0519</t>
  </si>
  <si>
    <t>486050.03.01</t>
  </si>
  <si>
    <t>Теоретико-методологич. подходы риск-менеджмента: Моногр. / Н.В.Капустина-М.:НИЦ ИНФРА-М,2020-140с(О)</t>
  </si>
  <si>
    <t>ТЕОРЕТИКО-МЕТОДОЛОГИЧЕСКИЕ ПОДХОДЫ РИСК-МЕНЕДЖМЕНТА</t>
  </si>
  <si>
    <t>978-5-16-010601-4</t>
  </si>
  <si>
    <t>632300.05.01</t>
  </si>
  <si>
    <t>Теоретические основы реструкт. орг.: Уч.пос. / А.П.Балашов- 2изд.-М.:Вуз.уч.,НИЦ ИНФРА-М,2023.-254с.</t>
  </si>
  <si>
    <t>ТЕОРЕТИЧЕСКИЕ ОСНОВЫ РЕСТРУКТУРИЗАЦИИ ОРГАНИЗАЦИИ, ИЗД.2</t>
  </si>
  <si>
    <t>978-5-9558-0502-3</t>
  </si>
  <si>
    <t>40.03.01, 38.04.01, 38.04.02, 38.05.01, 38.03.01</t>
  </si>
  <si>
    <t>353800.06.01</t>
  </si>
  <si>
    <t>Теория антикризисного менеджмента: Уч. /Под ред. Ряховской А.Н. -М.:Магистр,НИЦ ИНФРА-М,2023-624с(П)</t>
  </si>
  <si>
    <t>ТЕОРИЯ АНТИКРИЗИСНОГО МЕНЕДЖМЕНТА</t>
  </si>
  <si>
    <t>Ряховская А.Н.</t>
  </si>
  <si>
    <t>978-5-9776-0352-2</t>
  </si>
  <si>
    <t>Рекомендовано Советом Учебно-методического объединения по образованию в области менеджмента в качестве учебника для обучающихся по программам высшего образования направления подготовки 38.04.02 «Менеджмент» (квалификация (степень) «магистр»</t>
  </si>
  <si>
    <t>645773.03.01</t>
  </si>
  <si>
    <t>Теория бизнес-организации: Монография / С.Н.Кукушкин и др.-М.:НИЦ ИНФРА-М,2022-238с.(Науч.мысль)(П)</t>
  </si>
  <si>
    <t>ТЕОРИЯ БИЗНЕС-ОРГАНИЗАЦИИ</t>
  </si>
  <si>
    <t>Кукушкин С.Н., Янковская В.В., Наумова Е.А., Ярчак И.Л.</t>
  </si>
  <si>
    <t>978-5-16-012423-0</t>
  </si>
  <si>
    <t>694855.06.01</t>
  </si>
  <si>
    <t>Теория государственного управления: Уч. / И.В.Понкин - М.:НИЦ ИНФРА-М,2023 - 529 с.(ВО: Магистр.)(П)</t>
  </si>
  <si>
    <t>ТЕОРИЯ ГОСУДАРСТВЕННОГО УПРАВЛЕНИЯ</t>
  </si>
  <si>
    <t>978-5-16-014592-1</t>
  </si>
  <si>
    <t>40.04.01, 38.04.04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</si>
  <si>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38.04.04 «Государственное и муниципальное управление», 40.04.01 «Юриспруденция» (квалификация (степень) «магистр») (протокол № 5 от 11.03.2019)</t>
  </si>
  <si>
    <t>644440.04.01</t>
  </si>
  <si>
    <t>Теория и методология исслед.взаимосвязи эконом.: Моногр. / Н.В.Родионова-М.:НИЦ ИНФРА-М,2022-317с(П)</t>
  </si>
  <si>
    <t>ТЕОРИЯ И МЕТОДОЛОГИЯ ИССЛЕДОВАНИЯ ВЗАИМОСВЯЗИ ЭКОНОМИЧЕСКИХ И СОЦИАЛЬНЫХ ПОКАЗАТЕЛЕЙ В СИСТЕМАХ УПРАВЛЕНИЯ ПРЕДПРИЯТИЯМИ</t>
  </si>
  <si>
    <t>Родионова Н.В.</t>
  </si>
  <si>
    <t>978-5-16-012965-5</t>
  </si>
  <si>
    <t>38.04.01, 38.04.08, 38.04.06, 38.04.02, 38.04.03, 38.04.04, 38.04.05, 38.03.01, 38.03.05, 38.03.06, 38.03.02, 38.03.04, 38.03.03, 41.03.06</t>
  </si>
  <si>
    <t>296300.07.01</t>
  </si>
  <si>
    <t>Теория и методология современной логистики: Моногр./ О.В.Рыкалина-М.:НИЦ ИНФРА-М,2022.-208 с.(Науч.мысль)(О)</t>
  </si>
  <si>
    <t>ТЕОРИЯ И МЕТОДОЛОГИЯ СОВРЕМЕННОЙ ЛОГИСТИКИ</t>
  </si>
  <si>
    <t>Рыкалина О.В.</t>
  </si>
  <si>
    <t>978-5-16-010098-2</t>
  </si>
  <si>
    <t>38.04.02, 38.03.01, 38.03.02, 41.03.06</t>
  </si>
  <si>
    <t>451550.05.01</t>
  </si>
  <si>
    <t>Теория и методология управ. конкурентоспос. бизнес..: Моногр./ С.А.Баронин - ИНФРА-М, 2023-329 с.(О)</t>
  </si>
  <si>
    <t>ТЕОРИЯ И МЕТОДОЛОГИЯ УПРАВЛЕНИЯ КОНКУРЕНТОСПОСОБНОСТЬЮ БИЗНЕС-СИСТЕМ</t>
  </si>
  <si>
    <t>Баронин С. А., Андреев В. А., Ботнарюк М. В., Баронин С. А., Семеркова Л. Н.</t>
  </si>
  <si>
    <t>978-5-16-009211-9</t>
  </si>
  <si>
    <t>634681.03.01</t>
  </si>
  <si>
    <t>Теория и методология форм. стратегий разв. горно-хим..: Моногр. /А.Л.Гендон-М.:НИЦ ИНФРА-М,2022-360с.(П)</t>
  </si>
  <si>
    <t>ТЕОРИЯ И МЕТОДОЛОГИЯ ФОРМИРОВАНИЯ СТРАТЕГИЙ РАЗВИТИЯ ГОРНО-ХИМИЧЕСКИХ ХОЛДИНГОВ</t>
  </si>
  <si>
    <t>Гендон А.Л.</t>
  </si>
  <si>
    <t>978-5-16-012112-3</t>
  </si>
  <si>
    <t>38.04.01, 38.04.02, 27.04.05, 38.03.02, 44.03.05</t>
  </si>
  <si>
    <t>466950.06.01</t>
  </si>
  <si>
    <t>Теория и механизмы современного гос. управ.: Уч. пос. /Д.А.Гайнанов - М.: ИНФРА-М, 2023 - 288 с.(П)</t>
  </si>
  <si>
    <t>ТЕОРИЯ И МЕХАНИЗМЫ СОВРЕМЕННОГО ГОСУДАРСТВЕННОГО УПРАВЛЕНИЯ</t>
  </si>
  <si>
    <t>Гайнанов Д. А., Атаева А. Г., Закиров И. Д.</t>
  </si>
  <si>
    <t>978-5-16-009789-3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</si>
  <si>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38.04.04 (081100.68) «Государственное и муниципально</t>
  </si>
  <si>
    <t>Уфимский федеральный исследовательский центр Российской академии наук</t>
  </si>
  <si>
    <t>187950.04.01</t>
  </si>
  <si>
    <t>Теория и практ. разв. управл...: Моногр. /Э.В.Кондратьев -М:ИЦ РИОР: Инфра-М, 2017-396с(Наука и практ.)</t>
  </si>
  <si>
    <t>ТЕОРИЯ И ПРАКТИКА РАЗВИТИЯ УПРАВЛЕНЧЕСКОГО ПЕРСОНАЛА ПРЕДПРИЯТИЯ</t>
  </si>
  <si>
    <t>Кондратьев Э.В.</t>
  </si>
  <si>
    <t>978-5-369-01072-3</t>
  </si>
  <si>
    <t>38.04.01, 38.04.03, 38.03.01, 38.03.03</t>
  </si>
  <si>
    <t>427500.04.01</t>
  </si>
  <si>
    <t>Теория и технология решения психолог. проблем: Уч.пос. / В.В.Гребнева-М.:НИЦ ИНФРА-М,2019-192с.(ВО)</t>
  </si>
  <si>
    <t>ТЕОРИЯ И ТЕХНОЛОГИЯ РЕШЕНИЯ ПСИХОЛОГИЧЕСКИХ ПРОБЛЕМ</t>
  </si>
  <si>
    <t>Гребнева В. В.</t>
  </si>
  <si>
    <t>978-5-16-006363-8</t>
  </si>
  <si>
    <t>37.03.01, 44.04.03, 37.05.01, 44.05.01, 37.03.02, 44.03.02</t>
  </si>
  <si>
    <t>Рекомендовано в качестве учебного пособия для студентов высших учебных заведений, обучающихся по направлениям подготовки 050400 "Психолого-педагогическое образование" и 030300 «Психология»</t>
  </si>
  <si>
    <t>Белгородский государственный национальный исследовательский университет</t>
  </si>
  <si>
    <t>448350.05.01</t>
  </si>
  <si>
    <t>Теория менеджмента: Ист.упр.мысли..: Уч.пос./А.Г.Фаррахов-М.:НИЦ ИНФРА-М,2023-272с.(ВО:Бакалавр.)(п)</t>
  </si>
  <si>
    <t>ТЕОРИЯ МЕНЕДЖМЕНТА: ИСТОРИЯ УПРАВЛЕНЧЕСКОЙ МЫСЛИ, ТЕОРИЯ ОРГАНИЗАЦИИ, ОРГАНИЗАЦИОННОЕ ПОВЕДЕНИЕ</t>
  </si>
  <si>
    <t>Фаррахов А. Г.</t>
  </si>
  <si>
    <t>978-5-16-009073-3</t>
  </si>
  <si>
    <t>38.03.02, 44.03.01, 41.03.06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</si>
  <si>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38.03.02 (080200.62) «Менеджмент» (квалификация (степень) «бакалавр») Регистрационный номер рецензии 017 от 8 февраля 2013 г. (ФГАУ ФИРО)</t>
  </si>
  <si>
    <t>Казанский государственный архитектурно-строительный университет</t>
  </si>
  <si>
    <t>202400.09.01</t>
  </si>
  <si>
    <t>Теория менеджмента: история управл. мысли: Уч. /Т.П.Хохлова - М: Магистр, НИЦ ИНФРА-М, 2023-384с.(п)</t>
  </si>
  <si>
    <t>ТЕОРИЯ МЕНЕДЖМЕНТА: ИСТОРИЯ УПРАВЛЕНЧЕСКОЙ МЫСЛИ</t>
  </si>
  <si>
    <t>978-5-9776-0268-6</t>
  </si>
  <si>
    <t>Рекомендовано ФГБОУ ВПО «Государственный университет управления» в качестве учебника для студентов высших учебных заведений, обучающихся по направлению подготовки 080200 «Менеджмент» квалификация (степень) бакалавр</t>
  </si>
  <si>
    <t>460050.07.01</t>
  </si>
  <si>
    <t>Теория менеджмента: теория организации: Уч. пос. / Л.А.Жигун - М: ИНФРА-М, 2024 - 320 с. (ВО) (п)</t>
  </si>
  <si>
    <t>ТЕОРИЯ МЕНЕДЖМЕНТА: ТЕОРИЯ ОРГАНИЗАЦИИ</t>
  </si>
  <si>
    <t>978-5-16-009449-6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</si>
  <si>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направлениям подготовки 38.03.02 «Менеджмент», 38.03.04 «Государственное и муниципа</t>
  </si>
  <si>
    <t>213300.05.01</t>
  </si>
  <si>
    <t>Теория менеджмента: Уч. / А.П.Агарков - М.: Альфа-М:  НИЦ ИНФРА-М, 2023. - 272 с.(Бакалавриат) (п) ISBN:978-5-98281-352-7</t>
  </si>
  <si>
    <t>ТЕОРИЯ МЕНЕДЖМЕНТА</t>
  </si>
  <si>
    <t>Голов Р. С., Агарков А. П.</t>
  </si>
  <si>
    <t>978-5-98281-352-7</t>
  </si>
  <si>
    <t>Допущено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направлению подготовки 080200.62 «Менеджмент» (квалификация (степень) «бакалавр»)</t>
  </si>
  <si>
    <t>247100.07.01</t>
  </si>
  <si>
    <t>Теория менеджмента: Уч. / В.А.Баринов - М.: НИЦ ИНФРА-М, 2024-207с.(ВО: Бакалавриат) (п)</t>
  </si>
  <si>
    <t>Баринов В. А.</t>
  </si>
  <si>
    <t>978-5-16-006009-5</t>
  </si>
  <si>
    <t>38.03.01, 38.03.02, 38.03.04, 38.03.03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</si>
  <si>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направлению подготовки 080200.62 «Менеджмент» (квалификация (степень) «бакалавр»)</t>
  </si>
  <si>
    <t>419700.07.01</t>
  </si>
  <si>
    <t>Теория менеджмента: Уч. / Ю.В. Гусаров. - М.: НИЦ ИНФРА-М, 2024 - 263 с. (ВО:Бакалавр.) (п)</t>
  </si>
  <si>
    <t>Гусаров Ю. В., Гусарова Л. Ф.</t>
  </si>
  <si>
    <t>978-5-16-005526-8</t>
  </si>
  <si>
    <t>41.03.05, 38.04.02, 38.04.03, 38.04.04, 38.03.01, 38.03.02, 38.03.04, 38.03.03, 44.03.01, 41.03.06</t>
  </si>
  <si>
    <t>Рекомендовано ФГБОУ ВПО «Государственный университет управления» в качестве учебного пособия для студентов высших учебных заведений, обучающихся по направлению 080200 «Менеджмент» (квалификация (степень) - «бакалавр»)</t>
  </si>
  <si>
    <t>438350.06.01</t>
  </si>
  <si>
    <t>Теория менеджмента: Уч. пос. / А.П. Балашов. - М.: Вузовский учебник:  НИЦ ИНФРА-М, 2023. - 352 с. (п)</t>
  </si>
  <si>
    <t>978-5-9558-0307-4</t>
  </si>
  <si>
    <t>237700.07.01</t>
  </si>
  <si>
    <t>Теория менеджмента: Уч.пос. / В.Д.Грибов-М.:НИЦ ИНФРА-М,2023.-357 с.(П)</t>
  </si>
  <si>
    <t>Грибов В.Д., Веснин В.Р.</t>
  </si>
  <si>
    <t>978-5-16-009193-8</t>
  </si>
  <si>
    <t>439100.05.01</t>
  </si>
  <si>
    <t>Теория менеджмента: Уч.пос. / О.Б.Угурчиев - М.:ИЦ РИОР,НИЦ ИНФРА-М,2023 - 268с.(ВО:Бакалавр.)(п)</t>
  </si>
  <si>
    <t>УгурчиевО.Б., БероеваЗ.М.</t>
  </si>
  <si>
    <t>978-5-369-01480-6</t>
  </si>
  <si>
    <t>Рекомендовано Советом Учебно-методического объединения по образованию в области менеджмента в качестве учебного пособия для обучающихся по программам высшего образования направления подготовки «Менеджмент» (квалификация (степень) «бакалавр»)</t>
  </si>
  <si>
    <t>244100.07.01</t>
  </si>
  <si>
    <t>Теория организации и орг. поведение: Уч.пос. / А.П.Балашов - М.:Вуз.уч., НИЦ ИНФРА-М,2024 - 304с.(П)</t>
  </si>
  <si>
    <t>ТЕОРИЯ ОРГАНИЗАЦИИ И ОРГАНИЗАЦИОННОЕ ПОВЕДЕНИЕ</t>
  </si>
  <si>
    <t>978-5-9558-0343-2</t>
  </si>
  <si>
    <t>38.04.02, 38.04.03, 38.04.04, 38.03.01, 38.03.02, 38.03.04, 38.03.03, 44.03.05, 41.03.06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</si>
  <si>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080200-68 «Менеджмент» (квалификация (степень) «маги</t>
  </si>
  <si>
    <t>640190.06.01</t>
  </si>
  <si>
    <t>Теория организации и организ.деят.: моногр.тезаур.: Сл./ Л.А.Жигун- 2 изд.-М.:НИЦ ИНФРА-М,2023-240с.(п)</t>
  </si>
  <si>
    <t>ТЕОРИЯ ОРГАНИЗАЦИИ И ОРГАНИЗАЦИОННАЯ ДЕЯТЕЛЬНОСТЬ: МОНОГРАФИЯ ТЕЗАУРУСА, ИЗД.2</t>
  </si>
  <si>
    <t>Жигун Л.А.</t>
  </si>
  <si>
    <t>978-5-16-012625-8</t>
  </si>
  <si>
    <t>38.04.09, 38.04.02, 38.04.03, 38.05.01, 38.03.05, 38.03.06, 38.03.02, 38.03.04, 41.03.06</t>
  </si>
  <si>
    <t>144400.12.01</t>
  </si>
  <si>
    <t>Теория организации и организац. повед.: Уч.пос. / Ю.Н.Лапыгин, - 2 изд.-М.: ИНФРА-М,2022-360с(ВО)(П)</t>
  </si>
  <si>
    <t>ТЕОРИЯ ОРГАНИЗАЦИИ И ОРГАНИЗАЦИОННОЕ ПОВЕДЕНИЕ, ИЗД.2</t>
  </si>
  <si>
    <t>Лапыгин Ю.Н.</t>
  </si>
  <si>
    <t>978-5-16-012559-6</t>
  </si>
  <si>
    <t>38.04.02, 38.04.03, 38.03.02, 44.03.05, 41.03.06</t>
  </si>
  <si>
    <t>Допущено советом Учебно-методического объединения вузов России по образованию в области менеджмента в качестве учебного пособия по направлению подготовки 38.04.02 «Менеджмент»</t>
  </si>
  <si>
    <t>144400.06.98</t>
  </si>
  <si>
    <t>Теория организации и организац. поведение: Уч.пос. / Ю.Н.Лапыгин-М.:НИЦ ИНФРА-М,2017-329с.(ВО)(П)</t>
  </si>
  <si>
    <t>978-5-16-004495-8</t>
  </si>
  <si>
    <t>Допущено Советом Учебно-методического объединения ВУЗов России по образованию в области менеджмента в качестве учебного пособия по специальности "Менеджмент организации"</t>
  </si>
  <si>
    <t>177850.08.01</t>
  </si>
  <si>
    <t>Теория организации: Словарь / Л.А.Жигун-М.:НИЦ ИНФРА-М,2024.-116 с.(Б-ка малых сл."ИНФРА-М")(О)(О) [12+]</t>
  </si>
  <si>
    <t>ТЕОРИЯ ОРГАНИЗАЦИИ</t>
  </si>
  <si>
    <t>978-5-16-005242-7</t>
  </si>
  <si>
    <t>35.02.12, 38.04.08, 38.04.02, 38.03.02, 44.03.05, 41.03.06</t>
  </si>
  <si>
    <t>012000.28.01</t>
  </si>
  <si>
    <t>Теория организации: Уч. / Б.З.Мильнер - 8 изд. - М.:НИЦ ИНФРА-М,2024 - 848 с.(ВО: Бакалавриат)(П)</t>
  </si>
  <si>
    <t>ТЕОРИЯ ОРГАНИЗАЦИИ, ИЗД.8</t>
  </si>
  <si>
    <t>Мильнер Б. З.</t>
  </si>
  <si>
    <t>978-5-16-004700-3</t>
  </si>
  <si>
    <t>24.02.01, 38.04.02, 38.04.04, 38.03.02, 38.03.04, 44.03.05, 41.03.06, 25.02.07</t>
  </si>
  <si>
    <t>Рекомендовано Министерством образования РФ в качестве учебника для студентов высших учебных заведений, обучающихся по направлению 080200 "Менеджмент"</t>
  </si>
  <si>
    <t>0812</t>
  </si>
  <si>
    <t>420300.08.01</t>
  </si>
  <si>
    <t>Теория организации: Уч.пос. / А.П.Балашов-М.:Вузовский учебник, НИЦ ИНФРА-М,2024.-208 с.(п)</t>
  </si>
  <si>
    <t>978-5-9558-0288-6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</si>
  <si>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направлениям подготовки 080200 «Менеджмент», 081100 «Государственное и муниципальное управление» (квалификация (степень) — «бакалавр»)</t>
  </si>
  <si>
    <t>168050.08.01</t>
  </si>
  <si>
    <t>Теория организации: Уч.пос. / В.И.Подлесных. - 4 изд. - М.: НИЦ ИНФРА-М,2022 - 345 с.(ВО:Бакалавр.) (п)</t>
  </si>
  <si>
    <t>ТЕОРИЯ ОРГАНИЗАЦИИ, ИЗД.4</t>
  </si>
  <si>
    <t>Подлесных В. И., Кузнецов Н. В., Подлесных В. И.</t>
  </si>
  <si>
    <t>978-5-16-006013-2</t>
  </si>
  <si>
    <t>38.04.04, 38.03.02, 38.03.04</t>
  </si>
  <si>
    <t>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заведений, обучающихся по специальности 080507.65 «Менеджмент организации»</t>
  </si>
  <si>
    <t>0413</t>
  </si>
  <si>
    <t>089630.04.01</t>
  </si>
  <si>
    <t>Теория организации: Шпаргалка - М.: РИОР, 2022 - 102 с. - (Шпаргалка [отрывная]). (о, к/ф)</t>
  </si>
  <si>
    <t>978-5-369-00640-5</t>
  </si>
  <si>
    <t>38.04.02, 38.04.03, 38.03.02, 41.03.06</t>
  </si>
  <si>
    <t>078650.11.01</t>
  </si>
  <si>
    <t>Теория организаций: Уч. пос. / Ю.Н.Лапыгин -2 изд. -М.:НИЦ ИНФРА-М,2022-324 с.-(ВО:Бакалавриат)(П)</t>
  </si>
  <si>
    <t>ТЕОРИЯ ОРГАНИЗАЦИЙ, ИЗД.2</t>
  </si>
  <si>
    <t>978-5-16-012296-0</t>
  </si>
  <si>
    <t>08.02.03, 38.04.09, 38.04.07, 38.04.01, 38.04.08, 38.04.06, 38.04.02, 38.04.03, 38.04.04, 38.04.05, 38.05.01, 38.05.02, 38.03.01, 38.03.05, 38.03.06, 38.03.07, 38.03.02, 38.03.04, 38.03.03, 44.03.05, 41.03.06</t>
  </si>
  <si>
    <t>Допущено Советом Учебно-методического объединения вузов России по образованию в области менеджмента в качестве учебного пособия для студентов высших учебных заведений, обучающихся по направлению «Менеджмент»</t>
  </si>
  <si>
    <t>408450.08.01</t>
  </si>
  <si>
    <t>Теория процессного управления: Монография / Ю.В.Ляндау-М.:НИЦ ИНФРА-М,2024.-118 с.(Науч.мысль)(о)</t>
  </si>
  <si>
    <t>ТЕОРИЯ ПРОЦЕССНОГО УПРАВЛЕНИЯ</t>
  </si>
  <si>
    <t>Ляндау Ю.В., Стасевич Д.И.</t>
  </si>
  <si>
    <t>978-5-16-006400-0</t>
  </si>
  <si>
    <t>38.04.02, 38.04.05, 38.03.05, 38.03.02</t>
  </si>
  <si>
    <t>644160.05.01</t>
  </si>
  <si>
    <t>Теория управления: Уч. / Н.Б.Костина и др. - М.:НИЦ ИНФРА-М,2023 - 252 с.-(ВО: Бакалавриат)(П)</t>
  </si>
  <si>
    <t>ТЕОРИЯ УПРАВЛЕНИЯ</t>
  </si>
  <si>
    <t>Костина Н.Б., Дуран Т.В., Калугина Д.А.</t>
  </si>
  <si>
    <t>978-5-16-012629-6</t>
  </si>
  <si>
    <t>41.03.04, 38.03.04, 39.03.01, 41.03.06</t>
  </si>
  <si>
    <t>Рекомендовано в качестве учебника для студентов высших учебных заведений, обучающихся по направлениям подготовки 38.03.04 «Государственное  и муниципальное управление», 38.03.02 «Менеджмент» (квалификация (степень) «бакалавр»)</t>
  </si>
  <si>
    <t>Российская академия народного хозяйства и государственной службы при Президенте РФ, ф-л Уральский институт управления</t>
  </si>
  <si>
    <t>686648.02.01</t>
  </si>
  <si>
    <t>Теория управления: Уч.пос. / Е.П.Тавокин - М.:НИЦ ИНФРА-М,2023 - 202 с.-(ВО: Бакалавриат)(П)</t>
  </si>
  <si>
    <t>Тавокин Е.П.</t>
  </si>
  <si>
    <t>978-5-16-014220-3</t>
  </si>
  <si>
    <t>43.03.01, 43.03.02, 43.03.03, 39.04.03, 39.04.02, 37.04.02, 38.04.02, 38.04.03, 38.04.04, 38.03.02, 38.03.04, 44.03.05, 39.03.02, 41.03.06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</si>
  <si>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направлениям подготовки 38.03.02 «Менеджмент», 38.03.04 «Государственное и муниципальное управление», 38.03.03 «Управление персоналом»</t>
  </si>
  <si>
    <t>33</t>
  </si>
  <si>
    <t>057390.17.01</t>
  </si>
  <si>
    <t>Теория управления: Уч.пос. / Л.А.Бурганова, - 3 изд.-М.:НИЦ ИНФРА-М,2024.-160 с.(ВО: Бакалавр.)(О)</t>
  </si>
  <si>
    <t>ТЕОРИЯ УПРАВЛЕНИЯ, ИЗД.3</t>
  </si>
  <si>
    <t>Бурганова Л. А.</t>
  </si>
  <si>
    <t>978-5-16-005576-3</t>
  </si>
  <si>
    <t>15.02.07, 35.02.12, 08.02.01, 08.02.04, 40.02.01, 38.02.07, 38.02.01, 38.02.03, 04.03.02, 42.03.01, 07.03.03, 35.03.03, 27.03.02, 29.03.02, 19.03.04, 38.04.01, 38.04.02, 38.04.04, 23.03.01, 36.03.02, 35.03.09, 38.03.01, 38.03.02, 38.03.04, 44.03.05, 45.03.01, 35.03.04, 52.03.01, 45.03.03, 51.03.01, 51.03.04, 41.03.06</t>
  </si>
  <si>
    <t>Допущено Советом Учебно-методического объединения вузов России по образованию в области менеджмента в качестве учебного пособия по специальности  "Государственное и муниципальное управление"</t>
  </si>
  <si>
    <t>Казанский национальный исследовательский технологический университет</t>
  </si>
  <si>
    <t>077790.04.01</t>
  </si>
  <si>
    <t>Теория управления: Шпаргалка - М.:ИЦ РИОР, НИЦ ИНФРА-М-129 с.-(Шпаргалка [отрывная])(О)</t>
  </si>
  <si>
    <t>978-5-369-00669-6</t>
  </si>
  <si>
    <t>38.03.10, 38.01.03, 38.01.01, 38.01.02, 38.02.04, 38.02.05, 38.02.06, 38.02.07, 38.02.01, 38.02.02, 38.02.03, 38.03.01, 38.03.05, 38.03.06, 38.03.07, 38.03.02, 38.03.04, 38.03.03</t>
  </si>
  <si>
    <t>212200.06.01</t>
  </si>
  <si>
    <t>Терминология теории управления: словарь базовых..: Уч. пос./О.В.Кожевина - ИНФРА-М, 2023-156с.(ВО) (о)</t>
  </si>
  <si>
    <t>ТЕРМИНОЛОГИЯ ТЕОРИИ УПРАВЛЕНИЯ: СЛОВАРЬ БАЗОВЫХ УПРАВЛЕНЧЕСКИХ ТЕРМИНОВ</t>
  </si>
  <si>
    <t>Кожевина О. В.</t>
  </si>
  <si>
    <t>978-5-16-006863-3</t>
  </si>
  <si>
    <t>15.02.07, 08.02.01, 08.02.04, 40.02.01, 38.02.07, 38.02.01, 38.02.03, 38.03.01, 38.03.02, 38.03.04, 38.03.03, 44.03.05, 41.03.06</t>
  </si>
  <si>
    <t>Допущено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направлениям подготовки 080200.62 «Менеджмент», 081100.62 «Государственное и муниципальное управление» (квалификация (степень) «бакалавр»)</t>
  </si>
  <si>
    <t>669454.04.01</t>
  </si>
  <si>
    <t>Территориальная организ.мест.самоуправ. РФ: Моногр./ Л.А.Шарнина-М.:НИЦ ИНФРА-М, СФУ,2022.-168с.(О)</t>
  </si>
  <si>
    <t>ТЕРРИТОРИАЛЬНАЯ ОРГАНИЗАЦИЯ МЕСТНОГО САМОУПРАВЛЕНИЯ РОССИЙСКОЙ ФЕДЕРАЦИИ</t>
  </si>
  <si>
    <t>Шарнина Л.А.</t>
  </si>
  <si>
    <t>978-5-16-017273-6</t>
  </si>
  <si>
    <t>40.04.01, 38.04.04, 38.06.01, 40.06.01</t>
  </si>
  <si>
    <t>125000.08.01</t>
  </si>
  <si>
    <t>Технические средства управления: Уч. / И.К.Корнеев-М.:ИНФРА-М Издательский Дом,2023.-200 с..-(ВО)(П)</t>
  </si>
  <si>
    <t>ТЕХНИЧЕСКИЕ СРЕДСТВА УПРАВЛЕНИЯ</t>
  </si>
  <si>
    <t>Корнеев И. К., Ксандопуло Г. Н.</t>
  </si>
  <si>
    <t>978-5-16-003620-5</t>
  </si>
  <si>
    <t>Рекомендовано УМО  вузов РФ по образованию в области  историко-архивоведения в качестве учебного пособия для студентов высших учебных заведений, обучающихся по спец. 032001.65 Документоведение и документационное обеспечение управления</t>
  </si>
  <si>
    <t>130250.09.01</t>
  </si>
  <si>
    <t>Техническое обслуж. и ремонты оборуд.: Уч. пос. / Под ред. В.В.Кондратьева - ИНФРА-М,2024-128с(п+CD)</t>
  </si>
  <si>
    <t>ТЕХНИЧЕСКОЕ ОБСЛУЖИВАНИЕ И РЕМОНТЫ ОБОРУДОВАНИЯ. РЕШЕНИЯ НКМК-НТМК-ЕВРАЗ</t>
  </si>
  <si>
    <t>Кондратьев В. В., Мухатдинов Н. Х., Юрьев А. Б.</t>
  </si>
  <si>
    <t>Управление производством: Магистратура</t>
  </si>
  <si>
    <t>978-5-16-004039-4</t>
  </si>
  <si>
    <t>15.03.01, 15.03.05, 38.04.02, 38.03.02</t>
  </si>
  <si>
    <t>775347.01.01</t>
  </si>
  <si>
    <t>Техническое регулир. в механизме гос. управ./ А.В.Калмыкова-М.:Юр. НОРМА, НИЦ ИНФРА-М,2023.-216 с.(П)</t>
  </si>
  <si>
    <t>ТЕХНИЧЕСКОЕ РЕГУЛИРОВАНИЕ В МЕХАНИЗМЕ ГОСУДАРСТВЕННОГО УПРАВЛЕНИЯ</t>
  </si>
  <si>
    <t>Калмыкова А.В.</t>
  </si>
  <si>
    <t>978-5-00156-232-0</t>
  </si>
  <si>
    <t>40.04.01, 40.06.01, 27.05.02</t>
  </si>
  <si>
    <t>293500.04.01</t>
  </si>
  <si>
    <t>Технологии интенсивного формир. экон. самост..: Моногр. / С.Д.Резник - М.:НИЦ ИНФРА-М,2024-224 с.(о)</t>
  </si>
  <si>
    <t>ТЕХНОЛОГИИ ИНТЕНСИВНОГО ФОРМИРОВАНИЯ ЭКОНОМИЧЕСКОЙ САМОСТОЯТЕЛЬНОСТИ И ПРЕДПРИНИМАТЕЛЬСКИХ КОМПЕТЕН</t>
  </si>
  <si>
    <t>978-5-16-010061-6</t>
  </si>
  <si>
    <t>680396.03.01</t>
  </si>
  <si>
    <t>Технологии кадрового менеджмента: Уч. / О.Л.Чуланова - М.:НИЦ ИНФРА-М,2023 -492с(ВО: Бакалавриат)(П)</t>
  </si>
  <si>
    <t>ТЕХНОЛОГИИ КАДРОВОГО МЕНЕДЖМЕНТА</t>
  </si>
  <si>
    <t>978-5-16-014054-4</t>
  </si>
  <si>
    <t>Рекомендовано Учебно-методическим советом ВО в качестве учебника для студентов высших учебных заведений, обучающихся по направлению подготовки 38.03.03 «Управление персоналом» (квалификация (степень) «бакалавр»)</t>
  </si>
  <si>
    <t>636178.07.01</t>
  </si>
  <si>
    <t>Технологии обуч. и развития персонала в орг.: Уч. / Под ред. Полевой М.В. - 2 изд.-М.:НИЦ ИНФРА-М,2024.-273 с.(п)</t>
  </si>
  <si>
    <t>ТЕХНОЛОГИИ ОБУЧЕНИЯ И РАЗВИТИЯ ПЕРСОНАЛА В ОРГАНИЗАЦИИ, ИЗД.2</t>
  </si>
  <si>
    <t>Полевая М.В., Белогруд И.Н., Иванова И.А. и др.</t>
  </si>
  <si>
    <t>978-5-16-019023-5</t>
  </si>
  <si>
    <t>38.02.04, 31.02.04, 38.02.07, 38.02.03, 38.04.03, 38.03.01, 38.03.04, 38.03.03, 44.03.01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</si>
  <si>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38.03.03 «Управление персоналом» (квалификация (степень) «бакалавр») (протокол № 6 от 16.06.2021)</t>
  </si>
  <si>
    <t>636178.04.01</t>
  </si>
  <si>
    <t>Технологии обуч. и развития персонала в организ.: Уч. / В.М.Маслова.-М.:Вуз. уч., НИЦ ИНФРА-М,2020.-256 с.(П)</t>
  </si>
  <si>
    <t>ТЕХНОЛОГИИ ОБУЧЕНИЯ И РАЗВИТИЯ ПЕРСОНАЛА В ОРГАНИЗАЦИИ</t>
  </si>
  <si>
    <t>Маслова В.М., Полевая М.В., Белогруд И.Н. и др.</t>
  </si>
  <si>
    <t>978-5-9558-0528-3</t>
  </si>
  <si>
    <t>687652.04.01</t>
  </si>
  <si>
    <t>Технологические дорожные карты: общее руководство..: Моногр./ Л.Ю.Матич-М.:НИЦ ИНФРА-М,2022.-151 с.(Научная мысль)(О)</t>
  </si>
  <si>
    <t>ТЕХНОЛОГИЧЕСКИЕ ДОРОЖНЫЕ КАРТЫ: ОБЩЕЕ РУКОВОДСТВО ПО ВНЕДРЕНИЮ И ИСПОЛЬЗОВАНИЮ ИНСТРУМЕНТА</t>
  </si>
  <si>
    <t>Матич Л.Ю.</t>
  </si>
  <si>
    <t>978-5-16-014268-5</t>
  </si>
  <si>
    <t>27.03.05, 27.04.05, 38.03.01</t>
  </si>
  <si>
    <t>282200.05.01</t>
  </si>
  <si>
    <t>Товарный менеджмент строительных материалов: Уч. пос./ Ф .А.Петрище - М.: ФОРУМ: ИНФРА-М,2022 - 224с. (П)</t>
  </si>
  <si>
    <t>ТОВАРНЫЙ МЕНЕДЖМЕНТ СТРОИТЕЛЬНЫХ МАТЕРИАЛОВ</t>
  </si>
  <si>
    <t>Петрище Ф. А., Черная М. А.</t>
  </si>
  <si>
    <t>978-5-8199-0596-8</t>
  </si>
  <si>
    <t>38.04.07, 38.04.02, 38.03.07, 38.03.02, 41.03.06</t>
  </si>
  <si>
    <t>Допущено Учебно-методическим объединением по образованию в области коммерции в качестве учебного пособия для студентов высших учебных заведений, обучающихся по направлению 100700 «Торговое дело», профилям подготовки «Коммерция» и «Товароведение и экс</t>
  </si>
  <si>
    <t>Российский университет кооперации</t>
  </si>
  <si>
    <t>444650.06.01</t>
  </si>
  <si>
    <t>Товарный менеджмент: Уч. пос. / Под ред. Т.Н.Ивановой - М.: НИЦ ИНФРА-М, 2024-234с.(ВО:Бакалавр.)(п)</t>
  </si>
  <si>
    <t>ТОВАРНЫЙ МЕНЕДЖМЕНТ</t>
  </si>
  <si>
    <t>Иванова Т.Н., Еремина О.Ю., Евдокимова О.В. и др.</t>
  </si>
  <si>
    <t>978-5-16-006908-1</t>
  </si>
  <si>
    <t>Рекомендовано Учебно-методическим объединением по образованию в области товароведения в качестве учебного пособия для студентов высших учебных заведений, обучающихся по направлению 100800.62 «Товароведение»</t>
  </si>
  <si>
    <t>Кузбасская государственная сельскохозяйственная академия</t>
  </si>
  <si>
    <t>728596.01.01</t>
  </si>
  <si>
    <t>Транзакционный менеджмент: Моногр. / О.Г.Тихомирова - М.:НИЦ ИНФРА-М,2021 - 178 с.-(Науч.мысль)(О)</t>
  </si>
  <si>
    <t>ТРАНЗАКЦИОННЫЙ МЕНЕДЖМЕНТ: ГЕЙМИФИКАЦИЯ УПРАВЛЕНИЯ КОМПАНИЯМИ И ЛЮДЬМИ</t>
  </si>
  <si>
    <t>978-5-16-015977-5</t>
  </si>
  <si>
    <t>670734.04.01</t>
  </si>
  <si>
    <t>Транспортная логистика: Уч.пос. / Л.Э.Еремеева, - 3 изд.-М.:НИЦ ИНФРА-М,2024.-401 с.(ВО)(п)</t>
  </si>
  <si>
    <t>ТРАНСПОРТНАЯ ЛОГИСТИКА, ИЗД.3</t>
  </si>
  <si>
    <t>Еремеева Л.Э.</t>
  </si>
  <si>
    <t>978-5-16-019427-1</t>
  </si>
  <si>
    <t>38.05.02, 23.05.04, 23.03.01, 23.03.03, 26.03.01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</si>
  <si>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23.03.01 «Технология транспортных процессов», 23.03.03 «Эксплуатация транспортно-технологических машин и комплексов» (квалификация (степень) «бакалавр») (протокол № 5 от 11.05.2022)</t>
  </si>
  <si>
    <t>Санкт-Петербургский государственный лесотехнический университет, ф-л Сыктывкарский лесной институт</t>
  </si>
  <si>
    <t>663409.02.01</t>
  </si>
  <si>
    <t>Транспортное обеспечение торговой деят.: Уч.пос. / Ю.А.Кочинов-М.:НИЦ ИНФРА-М,2023.-226 с.(ВО)(П)</t>
  </si>
  <si>
    <t>ТРАНСПОРТНОЕ ОБЕСПЕЧЕНИЕ ТОРГОВОЙ ДЕЯТЕЛЬНОСТИ</t>
  </si>
  <si>
    <t>Кочинов Ю.А., Кочинова Т.В.</t>
  </si>
  <si>
    <t>978-5-16-015028-4</t>
  </si>
  <si>
    <t>38.03.06</t>
  </si>
  <si>
    <t>Рекомендовано Межрегиональным учебно-методическим советом профессионального образования в качестве учебного пособия  для студентов высших учебных заведений, обучающихся по направлению подготовки 38.03.06 «Торговое дело» (квалификация (степень) «бакалавр») (протокол № 5 от 16.03.2020)</t>
  </si>
  <si>
    <t>Пермский государственный аграрно-технологический университет  имени академика Д.Н. Прянишникова</t>
  </si>
  <si>
    <t>178400.06.01</t>
  </si>
  <si>
    <t>Транспортно-логистическое обеспеч. и междун..: Уч. пос. / Ю.А.Щербанин - 2 изд.-НИЦ Инфра-М, 2022-288с. (о)</t>
  </si>
  <si>
    <t>ТРАНСПОРТНО-ЛОГИСТИЧЕСКОЕ ОБЕСПЕЧЕНИЕ И МЕЖДУНАРОДНЫЕ ПЕРЕВОЗКИ УГЛЕВОДОРОДНОГО СЫРЬЯ, ИЗД.2</t>
  </si>
  <si>
    <t>Щербанин Ю. А.</t>
  </si>
  <si>
    <t>978-5-16-005314-1</t>
  </si>
  <si>
    <t>38.02.04, 21.04.01, 23.04.01, 21.03.01, 23.03.01, 38.03.01, 38.03.02</t>
  </si>
  <si>
    <t>Московский государственный университет им. М.В. Ломоносова</t>
  </si>
  <si>
    <t>292200.12.01</t>
  </si>
  <si>
    <t>Транспортные системы и техн.перевозок: Уч.пос. / С.В.Милославская - М.:НИЦ ИНФРА-М,2024 - 116 с.(о)</t>
  </si>
  <si>
    <t>ТРАНСПОРТНЫЕ СИСТЕМЫ И ТЕХНОЛОГИИ ПЕРЕВОЗОК</t>
  </si>
  <si>
    <t>Милославская С.В., Почаев Ю.А.</t>
  </si>
  <si>
    <t>978-5-16-019407-3</t>
  </si>
  <si>
    <t>23.03.01, 38.03.02, 41.03.06</t>
  </si>
  <si>
    <t>Допущено Учебно-методическим объединением по образованию в области менеджмента в качестве учебного пособия для студентов высших учебных заведений, обучающихся по направлению подготовки 38.03.02 «Менеджмент»</t>
  </si>
  <si>
    <t>Государственный университет морского и речного флота им. адмирала С.О. Макарова</t>
  </si>
  <si>
    <t>284200.06.01</t>
  </si>
  <si>
    <t>Трансформация антикриз.управ.в совр.эконом.усл.: Моногр./ В.Н.Алферов-М.:НИЦ ИНФРА-М,2022-157с.(Науч.мысль)(О)</t>
  </si>
  <si>
    <t>ТРАНСФОРМАЦИЯ АНТИКРИЗИСНОГО УПРАВЛЕНИЯ В СОВРЕМЕННЫХ ЭКОНОМИЧЕСКИХ УСЛОВИЯХ</t>
  </si>
  <si>
    <t>АлферовВ.Н., БерезинК.А., КованС.Е. и др.</t>
  </si>
  <si>
    <t>978-5-16-009908-8</t>
  </si>
  <si>
    <t>189600.08.01</t>
  </si>
  <si>
    <t>Тренинг в организации: Уч.пос. / А.Б.Невеев - М.:НИЦ ИНФРА-М,2024 - 256 с.-(ВО: Бакалавриат)(П))</t>
  </si>
  <si>
    <t>ТРЕНИНГ В ОРГАНИЗАЦИИ</t>
  </si>
  <si>
    <t>Невеев А.Б.</t>
  </si>
  <si>
    <t>978-5-16-005660-9</t>
  </si>
  <si>
    <t>38.04.02, 38.04.03, 38.03.01, 38.03.02, 38.03.03, 41.03.06</t>
  </si>
  <si>
    <t>Рекомендовано Советом Учебно-методического объединения в области менеджмента в качестве учебного пособия для студентов высшего профессионального образования,  обучающихся по направлению 080200 "Менеджмент"</t>
  </si>
  <si>
    <t>774985.01.01</t>
  </si>
  <si>
    <t>Тренинг профессионального саморазвития: уч.пос. / Е.В.Голубева-М.:НИЦ ИНФРА-М,2023.-203 с..-(ВО:Магистр)(п)</t>
  </si>
  <si>
    <t>ТРЕНИНГ ПРОФЕССИОНАЛЬНОГО САМОРАЗВИТИЯ</t>
  </si>
  <si>
    <t>Голубева Е.В.</t>
  </si>
  <si>
    <t>978-5-16-017559-1</t>
  </si>
  <si>
    <t>42.04.01, 04.04.01, 44.04.02, 41.04.05, 48.04.01, 49.04.01, 44.04.01, 38.04.03, 35.04.07, 12.04.01, 21.05.04, 39.03.02</t>
  </si>
  <si>
    <t>Май, 2023</t>
  </si>
  <si>
    <t>120800.11.01</t>
  </si>
  <si>
    <t>ТРИЗ. Анализ технической информации...: Уч.пос./ Н.А.Шпаковский- 2 изд., -М.:Форум,НИЦ ИНФРА-М,2023-264с.</t>
  </si>
  <si>
    <t>ТРИЗ. АНАЛИЗ ТЕХНИЧЕСКОЙ ИНФОРМАЦИИ И ГЕНЕРАЦИЯ НОВЫХ ИДЕЙ, ИЗД.2</t>
  </si>
  <si>
    <t>Шпаковский Н. А.</t>
  </si>
  <si>
    <t>978-5-00091-784-8</t>
  </si>
  <si>
    <t>27.03.05, 27.04.07, 22.04.02</t>
  </si>
  <si>
    <t>Рекомендовано кафедрой теоретических основ инноватики факультета инноватики Санкт-Петербургского государственного политехнического университета</t>
  </si>
  <si>
    <t>POSCO</t>
  </si>
  <si>
    <t>631790.05.01</t>
  </si>
  <si>
    <t>Туристские ресурсы России: Практикум / Н.Г.Можаева -М.:Форум,НИЦ ИНФРА-М,2023-112с.(ВО:Бакалавр.)(О)</t>
  </si>
  <si>
    <t>ТУРИСТСКИЕ РЕСУРСЫ РОССИИ</t>
  </si>
  <si>
    <t>Можаева Н.Г.</t>
  </si>
  <si>
    <t>978-5-00091-408-3</t>
  </si>
  <si>
    <t>43.03.02</t>
  </si>
  <si>
    <t>Рекомендовано в качестве учебного пособия для студентов высших учебных заведений, обучающихся по направлениям подготовки 43.03.03 «Гостиничное дело», 43.03.01 «Сервис», 43.03.02 «Туризм» (квалификация (степень) «бакалавр»)</t>
  </si>
  <si>
    <t>683134.04.01</t>
  </si>
  <si>
    <t>Туристские ресурсы России: Практикум / Н.Г.Можаева-М.:Форум, НИЦ ИНФРА-М,2023.-112 с.(СПО)(О)</t>
  </si>
  <si>
    <t>978-5-00091-560-8</t>
  </si>
  <si>
    <t>708146.02.01</t>
  </si>
  <si>
    <t>Угрозы кадровой безопас. орг.: Моногр. / Н.В.Кузнецова-М.:НИЦ ИНФРА-М,2023.-262 с..-(Науч.мысль)(О)</t>
  </si>
  <si>
    <t>УГРОЗЫ КАДРОВОЙ БЕЗОПАСНОСТИ ОРГАНИЗАЦИИ</t>
  </si>
  <si>
    <t>Кузнецова Н.В.</t>
  </si>
  <si>
    <t>978-5-16-015804-4</t>
  </si>
  <si>
    <t>38.04.03, 38.04.04, 38.06.01</t>
  </si>
  <si>
    <t>151550.10.01</t>
  </si>
  <si>
    <t>Управление архитектурой предприятия: Уч.пос../ Кондратьев В.В. - 2 изд. - М.:ИНФРА-М,2023-358с.(П)</t>
  </si>
  <si>
    <t>УПРАВЛЕНИЕ АРХИТЕКТУРОЙ ПРЕДПРИЯТИЯ, ИЗД.2</t>
  </si>
  <si>
    <t>978-5-16-010401-0</t>
  </si>
  <si>
    <t>712708.04.01</t>
  </si>
  <si>
    <t>Управление бизнес-процессами: от теор. к прак.: Уч.пос. / Т.П.Маслевич - М.:НИЦ ИНФРА-М,2024.-206 с.(ВО)(п)</t>
  </si>
  <si>
    <t>УПРАВЛЕНИЕ БИЗНЕС-ПРОЦЕССАМИ: ОТ ТЕОРИИ К ПРАКТИКЕ</t>
  </si>
  <si>
    <t>Маслевич Т.П.</t>
  </si>
  <si>
    <t>978-5-16-019088-4</t>
  </si>
  <si>
    <t>38.03.10, 38.03.01, 38.03.05, 38.03.06, 38.03.02, 38.03.04, 38.03.03</t>
  </si>
  <si>
    <t>¶Рекомендовано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10 от 12.10.2020)</t>
  </si>
  <si>
    <t>457350.02.01</t>
  </si>
  <si>
    <t>Управление в развитии недвижимости: Уч.пос. / Под ред. Баронина С.А.-М.:НИЦ ИНФРА-М,2017.-182 с.(ВО)(О)</t>
  </si>
  <si>
    <t>УПРАВЛЕНИЕ В РАЗВИТИИ НЕДВИЖИМОСТИ</t>
  </si>
  <si>
    <t>Баронин С.А., Бижанов С., Бочкарев В.В. и др.</t>
  </si>
  <si>
    <t>978-5-16-009398-7</t>
  </si>
  <si>
    <t>38.03.10, 38.03.01, 38.03.02, 38.03.04</t>
  </si>
  <si>
    <t>Рекомендовано Учебно-методическим объединением вузов РФ по образованию в области строительства в качестве учебного пособия для студентов, обучающихся по специальности 270115 «Экспертиза и управление недвижимостью», направления 270 100 «Строительство»</t>
  </si>
  <si>
    <t>456950.05.01</t>
  </si>
  <si>
    <t>Управление в социально-эконом. сис. бесприбыл..: Моногр./С.Д.Резник - 2 изд. - ИНФРА-М,2023-234 с.(О)</t>
  </si>
  <si>
    <t>УПРАВЛЕНИЕ В СОЦИАЛЬНО-ЭКОНОМИЧЕСКИХ СИСТЕМАХ БЕСПРИБЫЛЬНОГО СЕКТОРА, ИЗД.2</t>
  </si>
  <si>
    <t>Бобров В. А., Бондаренко В. В., Егорова Н. Ю., Нижегородцев Р. М., Резник С. Д.</t>
  </si>
  <si>
    <t>978-5-16-009386-4</t>
  </si>
  <si>
    <t>38.04.01, 38.04.02, 38.04.04</t>
  </si>
  <si>
    <t>713680.03.01</t>
  </si>
  <si>
    <t>Управление в сфере инклюзив. высшего образ.: Уч.пос./ Р.А.Ашурбеков.,-2 изд.,-М.:НИЦ ИНФРА-М,2024-200с.(ВО)(П)</t>
  </si>
  <si>
    <t>УПРАВЛЕНИЕ В СФЕРЕ ИНКЛЮЗИВНОГО ВЫСШЕГО ОБРАЗОВАНИЯ, ИЗД.2</t>
  </si>
  <si>
    <t>Ашурбеков Р.А., Гимазова Ю.В., Гришаева С.А. и др.</t>
  </si>
  <si>
    <t>978-5-16-015509-8</t>
  </si>
  <si>
    <t>44.04.02, 44.04.01, 44.04.03, 38.04.02</t>
  </si>
  <si>
    <t>469150.04.01</t>
  </si>
  <si>
    <t>Управление взаимоотношениями с потребит. образов...: Моногр./Е.А.Неретина-РИОР:ИНФРА-М,2019-156с.(о)</t>
  </si>
  <si>
    <t>УПРАВЛЕНИЕ ВЗАИМООТНОШЕНИЯМИ С ПОТРЕБИТЕЛЯМИ ОБРАЗОВАТЕЛЬНЫХ УСЛУГ В СФЕРЕ ВЫСШЕГО ПРОФЕССИОНАЛЬНОГО ОБРАЗОВАНИЯ</t>
  </si>
  <si>
    <t>Неретина Е.А., Соловьев Т.Г.</t>
  </si>
  <si>
    <t>978-5-369-01359-5</t>
  </si>
  <si>
    <t>44.04.01, 38.04.02, 38.03.02, 44.03.01</t>
  </si>
  <si>
    <t>468850.05.01</t>
  </si>
  <si>
    <t>Управление высшим образ.и наукой: опыт...: Моногр. / Р.М.Нижегородцев и др. - М.:НИЦ ИНФРА-М,2024-400с(П)</t>
  </si>
  <si>
    <t>УПРАВЛЕНИЕ ВЫСШИМ ОБРАЗОВАНИЕМ И НАУКОЙ: ОПЫТ, ПРОБЛЕМЫ, ПЕРСПЕКТИВЫ</t>
  </si>
  <si>
    <t>Нижегородцев Р.М., Резник С.Д.</t>
  </si>
  <si>
    <t>978-5-16-009913-2</t>
  </si>
  <si>
    <t>38.04.02, 44.06.01, 38.03.02</t>
  </si>
  <si>
    <t>115000.08.01</t>
  </si>
  <si>
    <t>Управление высшим уч. завед.: Уч. / Под ред. Резника С.Д., - 4 изд., -М.:НИЦ ИНФРА-М,2018.-416с(П)</t>
  </si>
  <si>
    <t>УПРАВЛЕНИЕ ВЫСШИМ УЧЕБНЫМ ЗАВЕДЕНИЕМ, ИЗД.4</t>
  </si>
  <si>
    <t>Резник С. Д., Филиппов В. М.</t>
  </si>
  <si>
    <t>978-5-16-006238-9</t>
  </si>
  <si>
    <t>Допущено Советом Учебно-методического объединения по образованию в области менеджмента в качестве учебника для системы дополнительного образования — повышения квалификации руководящих кадров высших учебных заведений</t>
  </si>
  <si>
    <t>115000.14.01</t>
  </si>
  <si>
    <t>Управление высшим уч. завед.: Уч. / Под ред. Резника С.Д., - 5 изд., -М.:НИЦ ИНФРА-М,2024.-426с(П)</t>
  </si>
  <si>
    <t>УПРАВЛЕНИЕ ВЫСШИМ УЧЕБНЫМ ЗАВЕДЕНИЕМ, ИЗД.5</t>
  </si>
  <si>
    <t>Резник С.Д., Боровская М.А., Васин С.М. и др.</t>
  </si>
  <si>
    <t>978-5-16-014398-9</t>
  </si>
  <si>
    <t>250400.08.01</t>
  </si>
  <si>
    <t>Управление гос. и муниц. финансами: Уч./Н.Д.Шимширт - М:Альфа-М:ИНФРА-М,2024-352с (п)</t>
  </si>
  <si>
    <t>УПРАВЛЕНИЕ ГОСУДАРСТВЕННЫМИ И МУНИЦИПАЛЬНЫМИ ФИНАНСАМИ</t>
  </si>
  <si>
    <t>Шимширт Н. Д., Крашенникова Н. В.</t>
  </si>
  <si>
    <t>978-5-98281-376-3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</si>
  <si>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высших учебных заведений, обучающихся по направлению подг</t>
  </si>
  <si>
    <t>Национальный исследовательский Томский государственный университет</t>
  </si>
  <si>
    <t>683160.04.01</t>
  </si>
  <si>
    <t>Управление денежными потоками. Практикум: Уч.пос. / П.Е.Жуков - М.:НИЦ ИНФРА-М,2023 - 186 с.-(ВО)(П)</t>
  </si>
  <si>
    <t>УПРАВЛЕНИЕ ДЕНЕЖНЫМИ ПОТОКАМИ. ПРАКТИКУМ</t>
  </si>
  <si>
    <t>Жуков П.Е.</t>
  </si>
  <si>
    <t>978-5-16-014972-1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</si>
  <si>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  (протокол  № 12 от 24.06.2019)</t>
  </si>
  <si>
    <t>106800.11.01</t>
  </si>
  <si>
    <t>Управление документами: Уч. / И.К.Корнеев. - М.: НИЦ ИНФРА-М, 2022 - 300 с.(ВО:Бакалавр.) (п)</t>
  </si>
  <si>
    <t>УПРАВЛЕНИЕ ДОКУМЕНТАМИ</t>
  </si>
  <si>
    <t>Корнеев И. К., Пшенко А. В., Машурцев В. А.</t>
  </si>
  <si>
    <t>978-5-16-003590-1</t>
  </si>
  <si>
    <t>481250.04.01</t>
  </si>
  <si>
    <t>Управление домашним хозяйством как соц.-эконом.системой: Моногр. /С.Д.Резник-М.:ИНФРА-М,2022-157с.(О)</t>
  </si>
  <si>
    <t>УПРАВЛЕНИЕ ДОМАШНИМ ХОЗЯЙСТВОМ КАК СОЦИАЛЬНО-ЭКОНОМИЧЕСКОЙ СИСТЕМОЙ</t>
  </si>
  <si>
    <t>Резник С.Д., Егорова Н.Ю.</t>
  </si>
  <si>
    <t>978-5-16-010405-8</t>
  </si>
  <si>
    <t>753312.02.01</t>
  </si>
  <si>
    <t>Управление закупками и запасами в цепях поставок: Уч. / В.И.Сергеев-М.:НИЦ ИНФРА-М,2024.-402 с.(ВО)(п)</t>
  </si>
  <si>
    <t>УПРАВЛЕНИЕ ЗАКУПКАМИ И ЗАПАСАМИ В ЦЕПЯХ ПОСТАВОК</t>
  </si>
  <si>
    <t>Сергеев В.И., Эльяшевич И.П.</t>
  </si>
  <si>
    <t>978-5-16-018981-9</t>
  </si>
  <si>
    <t>38.04.06, 38.04.02, 38.03.01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</si>
  <si>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6 от 08.06.2022)</t>
  </si>
  <si>
    <t>085100.14.01</t>
  </si>
  <si>
    <t>Управление запасами в цепях поставок: Уч. / А.Н.Стерлигова-М.:НИЦ ИНФРА-М,2024.-430 с.(ВО)(п)</t>
  </si>
  <si>
    <t>УПРАВЛЕНИЕ ЗАПАСАМИ В ЦЕПЯХ ПОСТАВОК</t>
  </si>
  <si>
    <t>Стерлигова А. Н.</t>
  </si>
  <si>
    <t>978-5-16-018771-6</t>
  </si>
  <si>
    <t>38.02.04, 38.02.05, 38.04.07, 38.04.06, 38.04.02, 38.04.05, 38.03.01, 38.03.05, 38.03.06, 38.03.07, 38.03.02</t>
  </si>
  <si>
    <t>049650.14.01</t>
  </si>
  <si>
    <t>Управление затратами предприятия: Уч.пос. / М.И.Трубочкина, - 2 изд.-М.:НИЦ ИНФРА-М,2023-319с(ВО)(П)</t>
  </si>
  <si>
    <t>УПРАВЛЕНИЕ ЗАТРАТАМИ ПРЕДПРИЯТИЯ, ИЗД.2</t>
  </si>
  <si>
    <t>Трубочкина М.И.</t>
  </si>
  <si>
    <t>978-5-16-003472-0</t>
  </si>
  <si>
    <t>Рекомендовано Советом Учебно-методического объединения вузов России по образованию в области менеджмента в качестве учебного пособия для студентов высших учебных заведений по специальности 0080507 Менеджмент организации</t>
  </si>
  <si>
    <t>666544.03.01</t>
  </si>
  <si>
    <t>Управление затратами: Уч.пос. / Ю.А.Хегай-М.:НИЦ ИНФРА-М, СФУ,2023.-230с(ВО: Бакалавр.(СФУ)(П)</t>
  </si>
  <si>
    <t>УПРАВЛЕНИЕ ЗАТРАТАМИ</t>
  </si>
  <si>
    <t>Хегай Ю.А., Васильева З.А.</t>
  </si>
  <si>
    <t>978-5-16-018224-7</t>
  </si>
  <si>
    <t>00.03.13, 38.00.00</t>
  </si>
  <si>
    <t>Допущено УМО по образованию в области производственного менеджмента в качестве учебного пособия для студентов, обучающихся по специальности «Экономика и управление на предприятии транспорта»</t>
  </si>
  <si>
    <t>457450.07.01</t>
  </si>
  <si>
    <t>Управление и организация маркетинговой деят.: Уч. пос./Т.Н.Жукова - М:НИЦ ИНФРА-М,2023-197с. (п)</t>
  </si>
  <si>
    <t>УПРАВЛЕНИЕ И ОРГАНИЗАЦИЯ МАРКЕТИНГОВОЙ ДЕЯТЕЛЬНОСТИ</t>
  </si>
  <si>
    <t>Жукова Т. Н.</t>
  </si>
  <si>
    <t>978-5-16-009400-7</t>
  </si>
  <si>
    <t>38.02.04, 38.02.01, 38.02.03, 38.04.01, 38.04.02, 38.03.01, 38.03.02, 44.03.01, 44.03.05, 41.03.06</t>
  </si>
  <si>
    <t>Допущено УМО по образованию в области производственного менеджмента в качестве учебного пособия для студентов, обучающихся по направлению подготовки 080200 «Менеджмент» (профиль «Производственный менеджмент»)»</t>
  </si>
  <si>
    <t>Санкт-петербургский государственный электротехнический университет "ЛЭТИ" им. В.И. Ульянова (Ленина)</t>
  </si>
  <si>
    <t>709018.02.01</t>
  </si>
  <si>
    <t>Управление измен. и развит. науч. орг. на микроуровне / Мальцева А.А.-М.:НИЦ ИНФРА-М,2023.-304 с.(П)</t>
  </si>
  <si>
    <t>УПРАВЛЕНИЕ ИЗМЕНЕНИЯМИ И РАЗВИТИЕМ НАУЧНЫХ ОРГАНИЗАЦИЙ НА МИКРОУРОВНЕ: ПРОБЛЕМЫ И РЕШЕНИЯ</t>
  </si>
  <si>
    <t>Мальцева А.А., Монахов И.А., Барсукова Н.Е. и др.</t>
  </si>
  <si>
    <t>978-5-16-015579-1</t>
  </si>
  <si>
    <t>00.05.16, 38.04.01, 38.04.02, 38.06.01</t>
  </si>
  <si>
    <t>Тверской государственный университет</t>
  </si>
  <si>
    <t>678011.04.01</t>
  </si>
  <si>
    <t>Управление изменениями в совр. компаниях: Моногр. / С.Д.Резник.-М.:НИЦ ИНФРА-М,2023.-263 с.(Науч.мысль)(П)</t>
  </si>
  <si>
    <t>УПРАВЛЕНИЕ ИЗМЕНЕНИЯМИ В СОВРЕМЕННЫХ КОМПАНИЯХ</t>
  </si>
  <si>
    <t>Резник С.Д., Алмастян Н.А., Анискин Ю.П. и др.</t>
  </si>
  <si>
    <t>978-5-16-013722-3</t>
  </si>
  <si>
    <t>38.04.01, 38.04.02, 38.04.04, 38.03.02, 41.03.06</t>
  </si>
  <si>
    <t>488900.08.01</t>
  </si>
  <si>
    <t>Управление изменениями. Практикум...: Уч.пос. / С.Д.Резник - 3 изд.-М.:НИЦ ИНФРА-М,2024-210 с.(ВО)(П)</t>
  </si>
  <si>
    <t>УПРАВЛЕНИЕ ИЗМЕНЕНИЯМИ. ПРАКТИКУМ: ДЕЛОВЫЕ ИГРЫ, ТЕСТЫ, КОНКРЕТНЫЕ СИТУАЦИИ, ИЗД.3</t>
  </si>
  <si>
    <t>Резник С.Д., Черниковская М.В., Резник С.Д.</t>
  </si>
  <si>
    <t>978-5-16-018934-5</t>
  </si>
  <si>
    <t>Рекомендовано Советом Учебно-методического объединения вузов России по образованию в области менеджмента в качестве учебного пособия для обучающихся по программам высшего образования направлений подготовки 38.03.02 «Менеджмент», 38.03.03 «Управление персоналом» (квалификация (степень) «бакалавр»)</t>
  </si>
  <si>
    <t>488900.03.01</t>
  </si>
  <si>
    <t>Управление изменениями. Практикум..: Уч.пос. / С.Д.Резник и др. - 2 изд.-М:НИЦ ИНФРА-М,2018-210с(ВО)</t>
  </si>
  <si>
    <t>УПРАВЛЕНИЕ ИЗМЕНЕНИЯМИ. ПРАКТИКУМ: ДЕЛОВЫЕ ИГРЫ, ТЕСТЫ, КОНКРЕТНЫЕ СИТУАЦИИ, ИЗД.2</t>
  </si>
  <si>
    <t>978-5-16-011749-2</t>
  </si>
  <si>
    <t>174700.12.01</t>
  </si>
  <si>
    <t>Управление изменениями: Уч. / О.В.Кожевина - 2 изд.-М.:НИЦ ИНФРА-М,2023-304с.(ВО:Бак.)(О)</t>
  </si>
  <si>
    <t>УПРАВЛЕНИЕ ИЗМЕНЕНИЯМИ, ИЗД.2</t>
  </si>
  <si>
    <t>Кожевина О.В.</t>
  </si>
  <si>
    <t>978-5-16-009813-5</t>
  </si>
  <si>
    <t>Рекомендовано Советом Учебно-методического объединения в качестве учебника для студентов высших учебных заведений, обучающихся по направлениям подготовки 38.03.02 «Менеджмент», 38.03.03 «Управление персоналом» (квалификация (степень) «бакалавр»)</t>
  </si>
  <si>
    <t>234300.05.01</t>
  </si>
  <si>
    <t>Управление изменениями: Уч. / Под ред. С.Д.Резника - 3 изд. - М.:НИЦ ИНФРА-М,2018 - 379 с.(ВО)(П)</t>
  </si>
  <si>
    <t>УПРАВЛЕНИЕ ИЗМЕНЕНИЯМИ, ИЗД.3</t>
  </si>
  <si>
    <t>Резник С.Д., Черниковская М.В., Чемезов И.С. и др.</t>
  </si>
  <si>
    <t>978-5-16-009076-4</t>
  </si>
  <si>
    <t>Рекомендовано Советом учебно-методического объединения вузов России по образованию в области менеджмента в качестве учебника для студентов высших учебных заведений, обучающихся по направлению 38.03.02 «Менеджмент» (квалификация (степень) «бакалавр»)</t>
  </si>
  <si>
    <t>234300.09.01</t>
  </si>
  <si>
    <t>Управление изменениями: Уч. / С.Д.Резник - 4 изд. - М.:НИЦ ИНФРА-М,2023 - 379 с.(ВО: Бакалавр.)(П)</t>
  </si>
  <si>
    <t>УПРАВЛЕНИЕ ИЗМЕНЕНИЯМИ, ИЗД.4</t>
  </si>
  <si>
    <t>978-5-16-015901-0</t>
  </si>
  <si>
    <t>0420</t>
  </si>
  <si>
    <t>100780.07.01</t>
  </si>
  <si>
    <t>Управление инвестиц. деят. в регионах РФ: Моногр. / О.Ф.Быстров.-М.:НИЦ ИНФРА-М,2022.-357 с.(Науч.мысль)(П)</t>
  </si>
  <si>
    <t>УПРАВЛЕНИЕ ИНВЕСТИЦИОННОЙ ДЕЯТЕЛЬНОСТЬЮ В РЕГИОНАХ РОССИЙСКОЙ ФЕДЕРАЦИИ</t>
  </si>
  <si>
    <t>Быстров О. Ф., Поздняков В. Я., Прудников В. М., Перцов В. В., Казаков С. В.</t>
  </si>
  <si>
    <t>978-5-16-003075-3</t>
  </si>
  <si>
    <t>172850.06.01</t>
  </si>
  <si>
    <t>Управление инвестиц. привлекат. в туристско-рекреац. сфере: Моногр./ Т.П.Левченко.-М.:НИЦ ИНФРА-М,2022.-162 с.(О)</t>
  </si>
  <si>
    <t>УПРАВЛЕНИЕ ИНВЕСТИЦИОННОЙ ПРИВЛЕКАТЕЛЬНОСТЬЮ В ТУРИСТСКО-РЕКРЕАЦИОННОЙ СФЕРЕ</t>
  </si>
  <si>
    <t>Левченко Т. П., Янюшкин В. А., Рябцев А. А.</t>
  </si>
  <si>
    <t>978-5-16-005657-9</t>
  </si>
  <si>
    <t>43.03.02, 43.04.02, 38.03.01</t>
  </si>
  <si>
    <t>795896.02.01</t>
  </si>
  <si>
    <t>Управление инновационной деятельностью: Уч.пос. / А.В.Вершков-М.:НИЦ ИНФРА-М,2023.-166 с.(ВО)(п)</t>
  </si>
  <si>
    <t>УПРАВЛЕНИЕ ИННОВАЦИОННОЙ ДЕЯТЕЛЬНОСТЬЮ</t>
  </si>
  <si>
    <t>Вершков А.В., Москалев А.К.</t>
  </si>
  <si>
    <t>978-5-16-018087-8</t>
  </si>
  <si>
    <t>27.03.05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</si>
  <si>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27.03.05 «Инноватика» (квалификация (степень) «бакалавр») (протокол № 7 от 21.09.2022)</t>
  </si>
  <si>
    <t>078150.16.01</t>
  </si>
  <si>
    <t>Управление инновационными проектами: Уч.пос. / Под ред.Попова В.Л. -М.:НИЦ ИНФРА-М, 2023-336с(ВО)(П)</t>
  </si>
  <si>
    <t>УПРАВЛЕНИЕ ИННОВАЦИОННЫМИ ПРОЕКТАМИ</t>
  </si>
  <si>
    <t>Попов В.Л., Кремлев Н.Д., Ковшов В.С. и др.</t>
  </si>
  <si>
    <t>978-5-16-010105-7</t>
  </si>
  <si>
    <t>Пермский Национальный Исследовательский Политехнический Университет</t>
  </si>
  <si>
    <t>801688.01.01</t>
  </si>
  <si>
    <t>Управление инновациями и интеллект. собственностью: Моногр. / К.Б.Герасимов-М.:НИЦ ИНФРА-М,2023.-226 с.(п)</t>
  </si>
  <si>
    <t>УПРАВЛЕНИЕ ИННОВАЦИЯМИ И ИНТЕЛЛЕКТУАЛЬНОЙ СОБСТВЕННОСТЬЮ</t>
  </si>
  <si>
    <t>Герасимов К.Б., Шиханова Е.Г., Шкодина Е.С.</t>
  </si>
  <si>
    <t>978-5-16-018643-6</t>
  </si>
  <si>
    <t>14.03.02, 38.04.02, 22.04.02, 11.04.01, 27.04.03, 27.04.06</t>
  </si>
  <si>
    <t>Самарский национальный исследовательский университет им. академика С.П. Королева</t>
  </si>
  <si>
    <t>694000.05.01</t>
  </si>
  <si>
    <t>Управление инновациями. Метод. инструментарий: Уч. / В.В.Артяков - М.:НИЦ ИНФРА-М,2023-206с(ВО)(П)</t>
  </si>
  <si>
    <t>УПРАВЛЕНИЕ ИННОВАЦИЯМИ. МЕТОДОЛОГИЧЕСКИЙ ИНСТРУМЕНТАРИЙ</t>
  </si>
  <si>
    <t>978-5-16-014965-3</t>
  </si>
  <si>
    <t>27.04.07, 38.04.01, 38.04.02, 27.04.05, 27.04.06</t>
  </si>
  <si>
    <t>694000.06.01</t>
  </si>
  <si>
    <t>Управление инновациями. Метод. инструментарий: Уч. / В.В.Артяков-2 изд.- М.:НИЦ ИНФРА-М,2024-296с(ВО)(п)</t>
  </si>
  <si>
    <t>УПРАВЛЕНИЕ ИННОВАЦИЯМИ. МЕТОДОЛОГИЧЕСКИЙ ИНСТРУМЕНТАРИЙ, ИЗД.2</t>
  </si>
  <si>
    <t>Артяков В.В., Чурсин А.А., Островская А.А.</t>
  </si>
  <si>
    <t>978-5-16-019241-3</t>
  </si>
  <si>
    <t>770330.02.01</t>
  </si>
  <si>
    <t>Управление инновациями: Уч. / А.А.Чурсин-М.:НИЦ ИНФРА-М,2024.-331 с.(ВО)(п)</t>
  </si>
  <si>
    <t>УПРАВЛЕНИЕ ИННОВАЦИЯМИ</t>
  </si>
  <si>
    <t>Чурсин А.А., Абуева М.М.</t>
  </si>
  <si>
    <t>978-5-16-017566-9</t>
  </si>
  <si>
    <t>27.03.02, 27.03.05, 38.03.01</t>
  </si>
  <si>
    <t>297100.07.01</t>
  </si>
  <si>
    <t>Управление интеллектуал. капиталом развив. комп.: Уч. пос. /Н.Н.Шаш - М: Магистр: ИНФРА-М, 2023 - 368с</t>
  </si>
  <si>
    <t>УПРАВЛЕНИЕ ИНТЕЛЛЕКТУАЛЬНЫМ КАПИТАЛОМ РАЗВИВАЮЩЕЙСЯ КОМПАНИИ</t>
  </si>
  <si>
    <t>Шаш Н. Н.</t>
  </si>
  <si>
    <t>978-5-9776-0330-0</t>
  </si>
  <si>
    <t>149800.09.01</t>
  </si>
  <si>
    <t>Управление информацией и знаниями в компании: Уч. / С.Н.Селетков-М.:НИЦ ИНФРА-М,2024.-208 с.(ВО)(п)</t>
  </si>
  <si>
    <t>УПРАВЛЕНИЕ ИНФОРМАЦИЕЙ И ЗНАНИЯМИ В КОМПАНИИ</t>
  </si>
  <si>
    <t>Селетков С.Н., Днепровская Н.В.</t>
  </si>
  <si>
    <t>978-5-16-004842-0</t>
  </si>
  <si>
    <t>02.03.02, 04.03.02, 03.03.02, 09.03.04, 02.04.01, 02.04.02, 01.04.02, 38.04.05, 09.04.03, 02.03.01, 01.03.02, 38.03.01, 38.03.05, 09.03.03</t>
  </si>
  <si>
    <t>Рекомендовано Учебно-методическим объединением по образованию в области прикладной информатики в качестве учебника для студентов высших учебных заведений, обучающихся по направлению подготовки 09.03.03 «Прикладная информатика (по областям)» (квалификация (степень) «бакалавр») и другим экономическим специальностям</t>
  </si>
  <si>
    <t>461950.07.01</t>
  </si>
  <si>
    <t>Управление кадр.резервом: теор.и практ.: Моногр. / К.Б.Фокин - М.:НИЦ ИНФРА-М,2024-277с(Науч.мысль)</t>
  </si>
  <si>
    <t>УПРАВЛЕНИЕ КАДРОВЫМ РЕЗЕРВОМ: ТЕОРИЯ И ПРАКТИКА</t>
  </si>
  <si>
    <t>Фокин К. Б.</t>
  </si>
  <si>
    <t>978-5-16-009541-7</t>
  </si>
  <si>
    <t>38.04.01, 38.04.02, 38.03.01, 38.03.02, 44.03.01, 41.03.06</t>
  </si>
  <si>
    <t>Сибирский государственный индустриальный университет</t>
  </si>
  <si>
    <t>479550.05.01</t>
  </si>
  <si>
    <t>Управление карьерным ростом...: Моногр. / Под ред. Кибанова А.Я.-М.:НИЦ ИНФРА-М,2020.-246 с..-(о)</t>
  </si>
  <si>
    <t>УПРАВЛЕНИЕ КАРЬЕРНЫМ РОСТОМ ГОСУДАРСТВЕННЫХ ГРАЖДАНСКИХ СЛУЖАЩИХ</t>
  </si>
  <si>
    <t>Кибанов А.Я., Столярова В.А., Лукьянова Т.В. и др.</t>
  </si>
  <si>
    <t>978-5-16-010313-6</t>
  </si>
  <si>
    <t>38.04.04, 38.03.04, 38.03.03</t>
  </si>
  <si>
    <t>053300.13.01</t>
  </si>
  <si>
    <t>Управление кафедрой: Уч. / С.Д.Резник - 4 изд. - М.:НИЦ ИНФРА-М,2019-400с.(Менеджм.в высшей шк.)(П)</t>
  </si>
  <si>
    <t>УПРАВЛЕНИЕ КАФЕДРОЙ, ИЗД.4</t>
  </si>
  <si>
    <t>978-5-16-010584-0</t>
  </si>
  <si>
    <t>38.04.02, 44.06.01</t>
  </si>
  <si>
    <t>Рекомендовано Министерством образования РФ в качестве учебника для системы дополнительного образования - повышения квалификации руководящих кадров высших учебных заведений</t>
  </si>
  <si>
    <t>053300.17.01</t>
  </si>
  <si>
    <t>Управление кафедрой: Уч. / С.Д.Резник, - 5 изд.-М.:НИЦ ИНФРА-М,2019.-409с.(Менеджм. в высшей шк.)(П)</t>
  </si>
  <si>
    <t>УПРАВЛЕНИЕ КАФЕДРОЙ, ИЗД.5</t>
  </si>
  <si>
    <t>978-5-16-015088-8</t>
  </si>
  <si>
    <t>Рекомендовано Министерством образования Российской Федерации в качестве учебника для системы дополнительного образования — повышения квалификации руководящих кадров высших учебных заведений</t>
  </si>
  <si>
    <t>388700.04.01</t>
  </si>
  <si>
    <t>Управление качеством в процессе произв.: Уч.пос./Г.Н.Зайцев-М.:ИЦ РИОР,НИЦ ИНФРА-М,2021-164с.(ВО)(о)</t>
  </si>
  <si>
    <t>УПРАВЛЕНИЕ КАЧЕСТВОМ В ПРОЦЕССЕ ПРОИЗВОДСТВА</t>
  </si>
  <si>
    <t>Зайцев Г.Н.</t>
  </si>
  <si>
    <t>978-5-369-01501-8</t>
  </si>
  <si>
    <t>27.03.01, 20.03.02, 27.04.05, 28.03.02, 29.03.03, 38.03.02</t>
  </si>
  <si>
    <t>Допущено УМО по образованию в области производственного менеджмента в качестве учебного пособия для студентов, обучающихся по направлению подготовки «Менеджмент» (профиль «Производственный менеджмент») и по магистерской программе «Управление качеством и конкурентноспособностью» со специализацией «Управление качеством промышленной продукции»</t>
  </si>
  <si>
    <t>411600.08.01</t>
  </si>
  <si>
    <t>Управление качеством на предприят. пищевой..:Уч./Под ред. В.М.Позняковского-3изд.-ИНФРА-М,2023-336с (П)</t>
  </si>
  <si>
    <t>УПРАВЛЕНИЕ КАЧЕСТВОМ НА ПРЕДПРИЯТИЯХ ПИЩЕВОЙ, ПЕРЕРАБАТЫВАЮЩЕЙ ПРОМЫШЛЕННОСТИ, ТОРГОВЛИ И ОБЩЕСТВЕННОГО ПИТАНИЯ, ИЗД.3</t>
  </si>
  <si>
    <t>Сурков И. В., Кантере В. М., Ермолаева Е. О., Позняковский В. М.</t>
  </si>
  <si>
    <t>978-5-16-006184-9</t>
  </si>
  <si>
    <t>15.02.08, 35.02.03, 19.03.04, 19.04.04</t>
  </si>
  <si>
    <t>Допущено УМО по образованию в области прикладной математики и управления качеством в качестве учебника для студентов высших учебных заведений, обучающихся по направлениям подготовки 221400 «Управление качеством»; 100800 «Товароведение», 260800 «Техно</t>
  </si>
  <si>
    <t>Российский биотехнологический университет (РОСБИОТЕХ)</t>
  </si>
  <si>
    <t>720383.03.01</t>
  </si>
  <si>
    <t>Управление качеством программного обесп.: Уч. / Б.В.Черников - М.:ИД ФОРУМ, НИЦ ИНФРА-М,2022 - 240с(СПО)(п)</t>
  </si>
  <si>
    <t>УПРАВЛЕНИЕ КАЧЕСТВОМ ПРОГРАММНОГО ОБЕСПЕЧЕНИЯ</t>
  </si>
  <si>
    <t>978-5-8199-0902-7</t>
  </si>
  <si>
    <t>09.02.07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</si>
  <si>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</si>
  <si>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700916.02.01</t>
  </si>
  <si>
    <t>Управление качеством чел. ресурсов вуза: Моногр./ Ю.А.Масалова-М.:НИЦ ИНФРА-М, 2023-177 с.(О)</t>
  </si>
  <si>
    <t>УПРАВЛЕНИЕ КАЧЕСТВОМ ЧЕЛОВЕЧЕСКИХ РЕСУРСОВ ВУЗА</t>
  </si>
  <si>
    <t>Масалова Ю.А.</t>
  </si>
  <si>
    <t>978-5-16-014876-2</t>
  </si>
  <si>
    <t>400500.09.01</t>
  </si>
  <si>
    <t>Управление качеством. Практ.: Уч.пос. / Б.Н.Герасимов-М.:Вуз. уч., НИЦ ИНФРА-М,2023.-208 с.(П)</t>
  </si>
  <si>
    <t>УПРАВЛЕНИЕ КАЧЕСТВОМ. ПРАКТИКУМ</t>
  </si>
  <si>
    <t>Герасимов Б.Н., Чуриков Ю.В.</t>
  </si>
  <si>
    <t>978-5-9558-0228-2</t>
  </si>
  <si>
    <t>15.02.08, 35.02.03, 38.04.02, 38.03.01, 38.03.02, 38.03.04, 38.03.03</t>
  </si>
  <si>
    <t>719234.01.01</t>
  </si>
  <si>
    <t>Управление качеством. Практикум: Уч.пос. / Б.Н.Герасимов-М.:Вуз.уч., НИЦ ИНФРА-М,2020-208с(СПО)(П)</t>
  </si>
  <si>
    <t>Герасимов Б. Н., Чуриков Ю. В.</t>
  </si>
  <si>
    <t>978-5-9558-0635-8</t>
  </si>
  <si>
    <t>15.02.08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</si>
  <si>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</si>
  <si>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451850.04.01</t>
  </si>
  <si>
    <t>Управление качеством: качество жизни: Уч. пос. / Б.И.Герасимов - М.: Форум: ИНФРА-М,2021-304с(ВО)(о)</t>
  </si>
  <si>
    <t>УПРАВЛЕНИЕ КАЧЕСТВОМ: КАЧЕСТВО ЖИЗНИ</t>
  </si>
  <si>
    <t>Герасимов Б. И., Сизикин А. Ю., Спиридонов С. П., Герасимова Е. Б.</t>
  </si>
  <si>
    <t>978-5-91134-817-5</t>
  </si>
  <si>
    <t>15.02.08, 35.02.03, 27.03.01, 27.03.02, 27.04.02, 27.04.01</t>
  </si>
  <si>
    <t>Рекомендовано Федеральным государственным унитарным предприятием «Российский научно-технический центр информации по стандартизации, метрологии и оценке соответствия» (ФГУП «СТАНДАРТИНФОРМ») в качестве учебного пособия для студентов образовательных уч</t>
  </si>
  <si>
    <t>445950.06.01</t>
  </si>
  <si>
    <t>Управление качеством: проектир.: Уч. пос. /Б.И.Герасимов - М.: Форум:  НИЦ ИНФРА-М, 2024-176с.(СПО) (о)</t>
  </si>
  <si>
    <t>УПРАВЛЕНИЕ КАЧЕСТВОМ: ПРОЕКТИРОВАНИЕ</t>
  </si>
  <si>
    <t>Герасимов Б.И., Сизикин А.Ю., Герасимова Е.Б.</t>
  </si>
  <si>
    <t>Среднее профессиональное образование (ФинУн)</t>
  </si>
  <si>
    <t>978-5-91134-780-2</t>
  </si>
  <si>
    <t>15.02.08, 27.02.03, 27.02.04, 27.02.05, 27.02.02, 27.02.01, 35.02.03</t>
  </si>
  <si>
    <t>500130.04.01</t>
  </si>
  <si>
    <t>Управление качеством: резервы и механизмы: Уч.пос. / Б.И.Герасимов-М.:Форум, НИЦ ИНФРА-М,2024.-240 с.(ВО)(о)</t>
  </si>
  <si>
    <t>УПРАВЛЕНИЕ КАЧЕСТВОМ: РЕЗЕРВЫ И МЕХАНИЗМЫ</t>
  </si>
  <si>
    <t>978-5-00091-675-9</t>
  </si>
  <si>
    <t>27.03.03, 27.03.01, 27.03.02, 27.03.05, 27.03.04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</si>
  <si>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27.03.00 «Управление в технических системах» (квалификация (степень) «бакалавр»)</t>
  </si>
  <si>
    <t>429450.04.01</t>
  </si>
  <si>
    <t>Управление качеством: самооценка: Уч.пос. / Б.И.Герасимов.-М.:Форум, НИЦ ИНФРА-М,2023.-176 с.(О)</t>
  </si>
  <si>
    <t>УПРАВЛЕНИЕ КАЧЕСТВОМ: САМООЦЕНКА</t>
  </si>
  <si>
    <t>Герасимов Б.И., Сизикин А.Ю., Герасимова Е.Б. и др.</t>
  </si>
  <si>
    <t>Профессиональное образование. Бакалавриат</t>
  </si>
  <si>
    <t>978-5-91134-735-2</t>
  </si>
  <si>
    <t>15.02.08, 27.02.02, 27.02.01, 35.02.03</t>
  </si>
  <si>
    <t>022496.23.01</t>
  </si>
  <si>
    <t>Управление качеством: Уч. / Л.Е.Басовский - 3 изд. - М.: НИЦ ИНФРА-М, 2022 -231с(ВО: Бакалавр.)(П)</t>
  </si>
  <si>
    <t>УПРАВЛЕНИЕ КАЧЕСТВОМ, ИЗД.3</t>
  </si>
  <si>
    <t>Басовский Л.Е., Протасьев В.Б.</t>
  </si>
  <si>
    <t>978-5-16-011847-5</t>
  </si>
  <si>
    <t>15.02.08, 35.02.12, 35.02.03, 27.03.01, 27.03.02, 38.04.01, 38.04.02, 22.04.02, 15.04.01, 27.04.05, 38.03.01, 38.03.02, 44.03.01</t>
  </si>
  <si>
    <t>Рекомендовано в качестве учебника для студентов высших учебных заведений, обучающихся по направлению подготовки 38.03.02 «Менеджмент»(квалификация (степень) «бакалавр»)</t>
  </si>
  <si>
    <t>719235.04.01</t>
  </si>
  <si>
    <t>Управление качеством: Уч. / Л.Е.Басовский - 3 изд. - М.:НИЦ ИНФРА-М,2024 - 231 с.-(СПО)(П)</t>
  </si>
  <si>
    <t>978-5-16-015607-1</t>
  </si>
  <si>
    <t>15.02.08, 27.02.07, 23.02.07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</si>
  <si>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техническим, управленческим и экономическим специальностям (протокол № 12 от 24.06.2019)</t>
  </si>
  <si>
    <t>047750.20.01</t>
  </si>
  <si>
    <t>Управление качеством: Уч. / О.В.Аристов - 2 изд. - М.:НИЦ ИНФРА-М,2024 - 224 с.-(ВО: Бакалавриат)(п)</t>
  </si>
  <si>
    <t>УПРАВЛЕНИЕ КАЧЕСТВОМ, ИЗД.2</t>
  </si>
  <si>
    <t>Аристов О.В.</t>
  </si>
  <si>
    <t>978-5-16-016093-1</t>
  </si>
  <si>
    <t>26.02.02, 38.04.02, 38.03.02</t>
  </si>
  <si>
    <t>Допущено Мин. обр. и науки РФ в качестве учебника для студентов вузов, обучающихся по специальности "Менеджмент организации"</t>
  </si>
  <si>
    <t>133250.08.01</t>
  </si>
  <si>
    <t>Управление качеством: Уч. пос. / В.А. Разумов. - М.: ИНФРА-М, 2024. - 208 с. + CD-ROM.(ВО) (п+CD)</t>
  </si>
  <si>
    <t>УПРАВЛЕНИЕ КАЧЕСТВОМ</t>
  </si>
  <si>
    <t>Разумов В. А.</t>
  </si>
  <si>
    <t>978-5-16-003830-8</t>
  </si>
  <si>
    <t>15.02.08, 35.02.03, 38.04.02, 38.03.02</t>
  </si>
  <si>
    <t>Курчатовский институт - ИРЕА</t>
  </si>
  <si>
    <t>105900.10.01</t>
  </si>
  <si>
    <t>Управление качеством: Уч. пос. / С.П. Коноплев - М.: НИЦ Инфра-М, 2022 - 252 с.(ВО: Бакалавр.) (П)</t>
  </si>
  <si>
    <t>Коноплев С. П.</t>
  </si>
  <si>
    <t>978-5-16-003562-8</t>
  </si>
  <si>
    <t>15.02.08, 35.02.03, 43.03.03, 27.03.01, 27.03.02, 20.03.02, 38.04.07, 25.04.03, 25.04.04, 38.04.01, 38.04.06, 38.04.02, 38.04.03, 38.04.04, 38.04.05, 43.04.01, 22.04.02, 23.04.03, 27.04.05, 19.04.03, 29.04.02, 28.03.02, 17.03.01, 26.03.02, 29.03.03, 38.03.01, 38.03.05, 38.03.06, 38.03.07, 38.03.02, 38.03.04, 38.03.03</t>
  </si>
  <si>
    <t>Рекомендовано УМО по образованию в области прикладной информатики в качестве учебного пособия для студентов высших учебных заведений, обучающихся по специальности 351400 "Прикладная информатика (по областям)"</t>
  </si>
  <si>
    <t>Институт менеджмента и бизнеса</t>
  </si>
  <si>
    <t>174200.07.01</t>
  </si>
  <si>
    <t>Управление качеством: Уч./ В.Н. Рожков. - М:Форум: ИНФРА-М, 2022 - 336 с. (Бакалавриат/Магистратура) (п)</t>
  </si>
  <si>
    <t>Рожков В. Н.</t>
  </si>
  <si>
    <t>Бакалавриат/Магистратура</t>
  </si>
  <si>
    <t>978-5-91134-610-2</t>
  </si>
  <si>
    <t>Допущено Советом Учебно-методического объединеня вузов России по образованию в области менеджмента в качестве учебника для студентов вузов, обучающихся по направлениям 080800 "Менеджмент", дисциплине "Управление качеством"</t>
  </si>
  <si>
    <t>316900.07.01</t>
  </si>
  <si>
    <t>Управление качеством: Уч.пос. / А.М.Елохов, - 2 изд.-М.:НИЦ ИНФРА-М,2024.-334 с.(ВО)(п)</t>
  </si>
  <si>
    <t>Елохов А.М.</t>
  </si>
  <si>
    <t>978-5-16-019107-2</t>
  </si>
  <si>
    <t>15.02.08, 35.02.03, 38.03.02, 41.03.06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</si>
  <si>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</t>
  </si>
  <si>
    <t>Пермский государственный национальный исследовательский университет</t>
  </si>
  <si>
    <t>154250.08.01</t>
  </si>
  <si>
    <t>Управление качеством: Уч.пос. / В.Е. Магер - М.: ИНФРА-М,2021 - 176 с. (ВО) (п)</t>
  </si>
  <si>
    <t>Магер В.Е.</t>
  </si>
  <si>
    <t>978-5-16-004764-5</t>
  </si>
  <si>
    <t>15.02.08, 35.02.03, 27.03.03, 27.03.01, 27.04.03</t>
  </si>
  <si>
    <t>Рекомендовано УМО по университетскому политехническому образованию в качестве учебного пособия для студентов вузов, обучающихся по направлению подготовки 220100 - "Системный анализ и управление"</t>
  </si>
  <si>
    <t>Санкт-Петербургский государственный политехнический университет Петра Великого</t>
  </si>
  <si>
    <t>720762.02.01</t>
  </si>
  <si>
    <t>Управление качеством: Уч.пос. / В.Е.Магер - М.:НИЦ ИНФРА-М,2022 - 176 с.-(СПО)(П)</t>
  </si>
  <si>
    <t>978-5-16-014612-6</t>
  </si>
  <si>
    <t>27.02.03, 27.02.04, 27.02.05, 27.02.02, 27.02.01, 27.02.06, 27.02.07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</si>
  <si>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27.02.00 «Управление в технических системах», 38.02.00 «Экономика и управление» (протокол № 12 от 24.06.2019)</t>
  </si>
  <si>
    <t>086010.11.01</t>
  </si>
  <si>
    <t>Управление качеством: Уч.пос. / Герасимов Б.И. - 4 изд. - М.:Форум,НИЦ ИНФРА-М,2023 - 217с.-(СПО)(П)</t>
  </si>
  <si>
    <t>УПРАВЛЕНИЕ КАЧЕСТВОМ, ИЗД.4</t>
  </si>
  <si>
    <t>Герасимова Е.Б., Герасимов Б.И., Сизикин А.Ю. и др.</t>
  </si>
  <si>
    <t>978-5-00091-420-5</t>
  </si>
  <si>
    <t>38.02.04, 38.02.05, 15.02.08, 35.02.03, 38.02.06, 38.02.07, 38.02.01, 38.02.02, 38.02.03</t>
  </si>
  <si>
    <t>0417</t>
  </si>
  <si>
    <t>654652.06.01</t>
  </si>
  <si>
    <t>Управление компетенциями персонала: Уч. / О.Л.Чуланова - М.:НИЦ ИНФРА-М,2023 - 232 с.(ВО:Магистр.)(П)</t>
  </si>
  <si>
    <t>УПРАВЛЕНИЕ КОМПЕТЕНЦИЯМИ</t>
  </si>
  <si>
    <t>978-5-16-013567-0</t>
  </si>
  <si>
    <t>38.04.01, 38.04.02, 38.04.03, 38.04.04, 38.03.02, 38.03.04, 38.03.03</t>
  </si>
  <si>
    <t>Рекомендовано в качестве учебника для студентов высших учебных заведений, обучающихся по направлениям подготовки 38.04.03 «Управление персоналом», 38.04.02 «Менеджмент», 38.04.01 «Экономика» (квалификация (степень) «магистр»)</t>
  </si>
  <si>
    <t>461900.05.01</t>
  </si>
  <si>
    <t>Управление компетенциями...: Моногр. / Р.М.Нижегородцев - М.:НИЦ ИНФРА-М,2021 - 208 с.-(Науч.мысль)(О)</t>
  </si>
  <si>
    <t>УПРАВЛЕНИЕ КОМПЕТЕНЦИЯМИ: СТРУКТУРА, ИНСТИТУТЫ, МЕХАНИЗМЫ</t>
  </si>
  <si>
    <t>978-5-16-016171-6</t>
  </si>
  <si>
    <t>38.03.01, 44.03.01</t>
  </si>
  <si>
    <t>158850.10.01</t>
  </si>
  <si>
    <t>Управление конкурентоспособностью организации: Уч. пос./ Г.Д. Антонов - М.: ИНФРА-М, 2023. - 300 с. (П)</t>
  </si>
  <si>
    <t>УПРАВЛЕНИЕ КОНКУРЕНТОСПОСОБНОСТЬЮ ОРГАНИЗАЦИИ</t>
  </si>
  <si>
    <t>Антонов Г. Д., Тумин В. М., Иванова О. П.</t>
  </si>
  <si>
    <t>978-5-16-004963-2</t>
  </si>
  <si>
    <t>Допущено Учебно-методическим объединением по образованию в области производственного менеджмента в качестве учебного пособия для студентов, обучающихся по специальности "Экономика и управление на предприятии (по отраслям)"</t>
  </si>
  <si>
    <t>158850.13.01</t>
  </si>
  <si>
    <t>Управление конкурентоспособностью организации: Уч./ Г.Д.Антонов-2е изд.-М.:НИЦ ИНФРА-М,2023-300с.(ВО)(П)</t>
  </si>
  <si>
    <t>УПРАВЛЕНИЕ КОНКУРЕНТОСПОСОБНОСТЬЮ ОРГАНИЗАЦИИ, ИЗД.2</t>
  </si>
  <si>
    <t>Антонов Г.Д., Иванова О.П., Тумин В.М.</t>
  </si>
  <si>
    <t>978-5-16-018402-9</t>
  </si>
  <si>
    <t>Рекомендовано Учебно-методическим объединением вузов России по образованию в области производственного менеджмента для студентов высших учебных заведений, обучающихся по направлению подготовки 38.03.02 «Менеджмент» (профиль «Производственный менеджмент»), по магистерской программе «Производственный менеджмент», а также для студентов технологических направлений и специальностей в части их экономико-организационной и управленческой подготовки</t>
  </si>
  <si>
    <t>698027.02.01</t>
  </si>
  <si>
    <t>Управление конкурентоспособностью продукции: Уч. / А.Е.Тюлин - М.:НИЦ ИНФРА-М,2022-215 с.-(ВО: Магистратура)(П)</t>
  </si>
  <si>
    <t>УПРАВЛЕНИЕ КОНКУРЕНТОСПОСОБНОСТЬЮ ПРОДУКЦИИ</t>
  </si>
  <si>
    <t>Тюлин А.Е., Чурсин А.А.</t>
  </si>
  <si>
    <t>978-5-16-016101-3</t>
  </si>
  <si>
    <t>38.04.01, 38.04.02, 27.04.05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</si>
  <si>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38.04.02 «Менеджмент» и 38.04.01 «Экономика» (квалификация (степень) «магистр») (протокол № 7 от 08.06.2020)</t>
  </si>
  <si>
    <t>419400.04.01</t>
  </si>
  <si>
    <t>Управление конкурентоспособностью: Уч.пос. / В.А.Быков - М.:ИЦ РИОР, НИЦ ИНФРА-М,2020 - 242 с.(о)</t>
  </si>
  <si>
    <t>УПРАВЛЕНИЕ КОНКУРЕНТОСПОСОБНОСТЬЮ</t>
  </si>
  <si>
    <t>Быков В.А., Комаров Е.И.</t>
  </si>
  <si>
    <t>978-5-369-01088-4</t>
  </si>
  <si>
    <t>168750.08.01</t>
  </si>
  <si>
    <t>Управление кризисом: Уч. пос. / М.А. Сажина. - М.: ИД ФОРУМ:  ИНФРА-М, 2024. - 256 с.(ВО) (п)</t>
  </si>
  <si>
    <t>УПРАВЛЕНИЕ КРИЗИСОМ</t>
  </si>
  <si>
    <t>Сажина М. А.</t>
  </si>
  <si>
    <t>978-5-8199-0493-0</t>
  </si>
  <si>
    <t>38.04.01, 38.04.08, 38.04.06, 38.04.02, 38.04.04, 38.05.01, 38.03.01, 38.03.06, 38.03.02, 38.03.04, 44.03.01</t>
  </si>
  <si>
    <t>Рекомендовано Ученым советом факультета государственного управления МГУ им. М. В. Ломоносова в качестве учебного пособия для студентов управленческих специальностей вузов</t>
  </si>
  <si>
    <t>177350.08.01</t>
  </si>
  <si>
    <t>Управление малым бизнесом: Уч. пос./Под общ. ред. В.Д.Свирчевского - М.: НИЦ ИНФРА-М, 2024-256с.(ВО) (п)</t>
  </si>
  <si>
    <t>УПРАВЛЕНИЕ МАЛЫМ БИЗНЕСОМ</t>
  </si>
  <si>
    <t>Абрамова А. А., Болкина Г. И., Буриков А. Д., Гарнов А. П., Свирчевский В. Д.</t>
  </si>
  <si>
    <t>978-5-16-005057-7</t>
  </si>
  <si>
    <t>38.04.01, 38.04.06, 38.04.02, 38.04.03, 38.04.05, 38.03.01, 38.03.05, 38.03.06, 38.03.02, 38.03.03</t>
  </si>
  <si>
    <t>467050.06.01</t>
  </si>
  <si>
    <t>Управление маркет.  проектами на предпр.: Уч.пос./ С.А.Мамонтов- М.:НИЦ ИНФРА-М,2023-174с.(ВО:Бак.) (п)</t>
  </si>
  <si>
    <t>УПРАВЛЕНИЕ МАРКЕТИНГОВЫМИ  ПРОЕКТАМИ НА ПРЕДПРИЯТИИ</t>
  </si>
  <si>
    <t>Мамонтов С.А., Глебова Н.М.</t>
  </si>
  <si>
    <t>978-5-16-009794-7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</si>
  <si>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38.03.02. (080200.62) "Менеджмент» (квалификация (степень) «бакалавр»)</t>
  </si>
  <si>
    <t>687943.02.01</t>
  </si>
  <si>
    <t>Управление матер.оборот. средствами птицефабрик: Моногр. Н.А.Алексеева-М.:НИЦ ИНФРА-М,2023.-158 с(О)</t>
  </si>
  <si>
    <t>УПРАВЛЕНИЕ МАТЕРИАЛЬНЫМИ ОБОРОТНЫМИ СРЕДСТВАМИ ПТИЦЕФАБРИК</t>
  </si>
  <si>
    <t>Алексеева Н.А., Шамсутдинов Р.Ф.</t>
  </si>
  <si>
    <t>978-5-16-014280-7</t>
  </si>
  <si>
    <t>725951.03.01</t>
  </si>
  <si>
    <t>Управление материал. ресурс. ж/д транспорта: Моногр. / А.В.Цевелев-М.:НИЦ ИНФРА-М,2021.-201 с.(Науч.мысль)(О)</t>
  </si>
  <si>
    <t>УПРАВЛЕНИЕ МАТЕРИАЛЬНЫМИ РЕСУРСАМИ ЖЕЛЕЗНОДОРОЖНОГО ТРАНСПОРТА</t>
  </si>
  <si>
    <t>Цевелев А.В.</t>
  </si>
  <si>
    <t>978-5-16-015887-7</t>
  </si>
  <si>
    <t>23.05.04, 23.06.01</t>
  </si>
  <si>
    <t>Сибирский государственный университет путей сообщения</t>
  </si>
  <si>
    <t>746131.02.01</t>
  </si>
  <si>
    <t>Управление материальными ресурсами...: Уч. / А.В.Цевелев - М.:НИЦ ИНФРА-М,2021 - 428 с.-(ВО)(П)</t>
  </si>
  <si>
    <t>УПРАВЛЕНИЕ МАТЕРИАЛЬНЫМИ РЕСУРСАМИ. МАТЕРИАЛЬНО-ТЕХНИЧЕСКОЕ ОБЕСПЕЧЕНИЕ (ЖЕЛЕЗНОДОРОЖНЫЙ ТРАНСПОРТ)</t>
  </si>
  <si>
    <t>978-5-16-017025-1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</si>
  <si>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2 от 17.02.2021)</t>
  </si>
  <si>
    <t>111300.10.01</t>
  </si>
  <si>
    <t>Управление настроем персонала в орг/: Уч. пос./Н.Л.Захаров.-М.:ИНФРА-М Изд. Дом,2023.-287 с.(ВО)(П)</t>
  </si>
  <si>
    <t>УПРАВЛЕНИЕ НАСТРОЕМ ПЕРСОНАЛА В ОРГАНИЗАЦИИ</t>
  </si>
  <si>
    <t>Захаров Н.Л., Пономаренко Б.Т., Перфильева М.Б. и др.</t>
  </si>
  <si>
    <t>Высшее образование. Бакалавриат</t>
  </si>
  <si>
    <t>978-5-16-003600-7</t>
  </si>
  <si>
    <t>38.02.04, 31.02.04, 38.02.07, 38.02.03, 38.04.03, 38.03.03, 44.03.01</t>
  </si>
  <si>
    <t>Допущено Учебно-методическим объединением в области менеджмента в качестве учебного пособия для студентов вузов, обучающихся по направлению 38.03.02 "Менеджмент"</t>
  </si>
  <si>
    <t>149620.08.01</t>
  </si>
  <si>
    <t>Управление оборотными активами: логист. подход: Моногр. / И.В.Бабенко-М.:НИЦ ИНФРА-М,2024-167с(О)</t>
  </si>
  <si>
    <t>УПРАВЛЕНИЕ ОБОРОТНЫМИ АКТИВАМИ: ЛОГИСТИЧЕСКИЙ ПОДХОД</t>
  </si>
  <si>
    <t>Бабенко И.В., Тиньков С.А.</t>
  </si>
  <si>
    <t>978-5-16-004904-5</t>
  </si>
  <si>
    <t>Юго-Западный государственный университет</t>
  </si>
  <si>
    <t>213600.07.01</t>
  </si>
  <si>
    <t>Управление операц. средой орг.: Уч. / Н.К.Моисеева - М.:НИЦ ИНФРА-М,2022 - 336 с.(ВО: Магистратура)(П)</t>
  </si>
  <si>
    <t>УПРАВЛЕНИЕ ОПЕРАЦИОННОЙ СРЕДОЙ ОРГАНИЗАЦИИ</t>
  </si>
  <si>
    <t>Моисеева Н. К., Стерлигова А. Н.</t>
  </si>
  <si>
    <t>978-5-16-006879-4</t>
  </si>
  <si>
    <t>419600.06.01</t>
  </si>
  <si>
    <t>Управление операциями:Уч./ Под. общ. ред. А.К.Казанцев. - М.: НИЦ ИНФРА-М, 2024 -478с.(ВО:Бакалавр.) (п)</t>
  </si>
  <si>
    <t>УПРАВЛЕНИЕ ОПЕРАЦИЯМИ</t>
  </si>
  <si>
    <t>Казанцев А. К., Кобзев В. В., Макаров В. М., Казанцев А. К.</t>
  </si>
  <si>
    <t>978-5-16-006273-0</t>
  </si>
  <si>
    <t>Рекомендовано федеральным государственным образовательным учреждением высшего профессионального образования «Государственный университет управления» в качестве учебника для студентов высших учебных заведений, обучающихся по направлению 080200.62 «Мен</t>
  </si>
  <si>
    <t>769430.01.01</t>
  </si>
  <si>
    <t>Управление опережающим развит. высокотехнологич. отрасле... / А.А.Чурсин-М.:НИЦ ИНФРА-М,2023.-205 с.(О)</t>
  </si>
  <si>
    <t>УПРАВЛЕНИЕ ОПЕРЕЖАЮЩИМ РАЗВИТИЕМ ВЫСОКОТЕХНОЛОГИЧНЫХ ОТРАСЛЕЙ ПРОМЫШЛЕННОСТИ И ОРГАНИЗАЦИЙ</t>
  </si>
  <si>
    <t>Чурсин А.А., Нестеров Е.А.</t>
  </si>
  <si>
    <t>978-5-16-017995-7</t>
  </si>
  <si>
    <t>27.04.07, 38.04.01, 27.04.06, 18.04.02, 38.06.01</t>
  </si>
  <si>
    <t>257300.06.01</t>
  </si>
  <si>
    <t>Управление организац.знанием промышл.предприят.: Моногр. / З.В.Брагина - НИЦ ИНФРА-М,2022-198(Науч.мысль)(О)</t>
  </si>
  <si>
    <t>УПРАВЛЕНИЕ ОРГАНИЗАЦИОННЫМ ЗНАНИЕМ ПРОМЫШЛЕННОГО ПРЕДПРИЯТИЯ: СОЗДАНИЕ УСЛОВИЙ ДЛЯ ПРОЯВЛЕНИЯ И ИСПОЛЬЗОВАНИЯ ТВОРЧЕСКОЙ АКТИВНОСТИ И ПРЕДПРИИМЧИВОСТИ ПЕРСОНАЛА</t>
  </si>
  <si>
    <t>Брагина З. В., Андреева Н. Ю.</t>
  </si>
  <si>
    <t>978-5-16-009471-7</t>
  </si>
  <si>
    <t>38.04.02, 38.04.03, 38.03.01, 38.03.02, 38.03.03, 44.03.05, 41.03.06</t>
  </si>
  <si>
    <t>678031.05.01</t>
  </si>
  <si>
    <t>Управление персоналом в Рос.: 100 л. после рев.: Моногр. / Под ред. Дураковой И.Б. - М.:НИЦ ИНФРА-М,2023 - 290c(П)</t>
  </si>
  <si>
    <t>УПРАВЛЕНИЕ ПЕРСОНАЛОМ В РОССИИ: 100 ЛЕТ ПОСЛЕ РЕВОЛЮЦИИ</t>
  </si>
  <si>
    <t>Генкин Б.М., Глухова А.В., Дуракова И.Б. и др.</t>
  </si>
  <si>
    <t>978-5-16-013688-2</t>
  </si>
  <si>
    <t>38.04.03, 38.04.04, 38.03.01, 38.03.03, 44.03.01, 41.03.06</t>
  </si>
  <si>
    <t>699200.03.01</t>
  </si>
  <si>
    <t>Управление персоналом в Рос.: Кн. 6: Моногр. / Под ред. Дураковой И.Б.-М.:НИЦ ИНФРА-М,2023.-297с(П)</t>
  </si>
  <si>
    <t>УПРАВЛЕНИЕ ПЕРСОНАЛОМ В РОССИИ: ВЫЗОВЫ XXI ВЕКА. КНИГА 6</t>
  </si>
  <si>
    <t>Глухова А.В., Митрофанова Е.А., Тарасенко В.В. и др.</t>
  </si>
  <si>
    <t>978-5-16-014752-9</t>
  </si>
  <si>
    <t>804713.02.01</t>
  </si>
  <si>
    <t>Управление персоналом в Рос.: перезагрузка. Кн. 11: Моногр. / И.Б.Дуракова-М.:НИЦ ИНФРА-М,2024.-343 с.(п)</t>
  </si>
  <si>
    <t>УПРАВЛЕНИЕ ПЕРСОНАЛОМ В РОССИИ: ПЕРЕЗАГРУЗКА. КНИГА 11</t>
  </si>
  <si>
    <t>Дуракова И.Б., Сотникова С.И., Сотников Н.З. и др.</t>
  </si>
  <si>
    <t>978-5-16-018626-9</t>
  </si>
  <si>
    <t>38.04.01, 38.04.02, 38.04.03, 38.04.04, 38.06.01, 38.03.01</t>
  </si>
  <si>
    <t>753741.02.01</t>
  </si>
  <si>
    <t>Управление персоналом в России...: Моногр. / Под ред. Дураковой И.Б.-М.:НИЦ ИНФРА-М,2022.-281 с.(Науч.мысль)(П)</t>
  </si>
  <si>
    <t>УПРАВЛЕНИЕ ПЕРСОНАЛОМ В РОССИИ: ОТ ЭГО-  К ЭКОСИСТЕМЕ</t>
  </si>
  <si>
    <t>Дуракова И.Б., Митрофанова Е.А., Митрофанова А.Е. и др.</t>
  </si>
  <si>
    <t>978-5-16-017041-1</t>
  </si>
  <si>
    <t>38.04.01, 38.04.02, 38.04.03, 38.04.04, 38.06.01, 38.03.01, 38.03.03</t>
  </si>
  <si>
    <t>651586.07.01</t>
  </si>
  <si>
    <t>Управление персоналом в России...: Моногр. / Под ред. Дураковой И.Б.-М.:НИЦ ИНФРА-М,2023-242с.(П)</t>
  </si>
  <si>
    <t>УПРАВЛЕНИЕ ПЕРСОНАЛОМ В РОССИИ: НОВЫЕ ФУНКЦИИ И НОВОЕ В ФУНКЦИЯХ</t>
  </si>
  <si>
    <t>Кибанов А.Я., Митрофанова Е.А., Геворгян Р.Н. и др.</t>
  </si>
  <si>
    <t>978-5-16-012762-0</t>
  </si>
  <si>
    <t>38.04.02, 38.04.03, 38.04.04, 38.03.01, 38.03.02, 38.03.03, 44.03.01, 41.03.06</t>
  </si>
  <si>
    <t>231200.08.01</t>
  </si>
  <si>
    <t>Управление персоналом в России...: Моногр. / Под ред. Кибанова А.Я. - М.:НИЦ ИНФРА-М,2024 - 240с(О)</t>
  </si>
  <si>
    <t>УПРАВЛЕНИЕ ПЕРСОНАЛОМ В РОССИИ: ИСТОРИЯ И СОВРЕМЕННОСТЬ</t>
  </si>
  <si>
    <t>Кибанов А.Я., Дуракова И.Б., Эсаулова И.А. и др.</t>
  </si>
  <si>
    <t>978-5-16-010226-9</t>
  </si>
  <si>
    <t>740845.03.01</t>
  </si>
  <si>
    <t>Управление персоналом в России: Кн. 8: Моногр. / Под ред. Дураковой И.Б.-М.:НИЦ ИНФРА-М,2022.-248 с.(П)</t>
  </si>
  <si>
    <t>УПРАВЛЕНИЕ ПЕРСОНАЛОМ В РОССИИ: КОНЦЕПЦИИ НОВОЙ НОРМАЛЬНОСТИ. КНИГА 8</t>
  </si>
  <si>
    <t>Долженкова Ю.В., Руденко Г.Г., Михайлов Ф.Б. и др.</t>
  </si>
  <si>
    <t>978-5-16-016419-9</t>
  </si>
  <si>
    <t>709442.02.01</t>
  </si>
  <si>
    <t>Управление персоналом в России: Кн.7: Моногр. / Под ред. Дураковой И.Б.-М.:НИЦ ИНФРА-М,2022-254 с.(Науч.мысль)(П)</t>
  </si>
  <si>
    <t>УПРАВЛЕНИЕ ПЕРСОНАЛОМ В РОССИИ: ВЕКТОР ГУМАНИЗАЦИИ. КНИГА 7</t>
  </si>
  <si>
    <t>Разумова Т.О., Спиридонова Н.Б., Дуракова И.Б. и др.</t>
  </si>
  <si>
    <t>978-5-16-015840-2</t>
  </si>
  <si>
    <t>399400.04.01</t>
  </si>
  <si>
    <t>Управление персоналом в России: парадиг. и практ.: Моногр.: Кн.3 / Кибанов А.Я. - М.:НИЦ ИНФРА-М,2022 - 174с.(П)</t>
  </si>
  <si>
    <t>УПРАВЛЕНИЕ ПЕРСОНАЛОМ В РОССИИ: ПАРАДИГМЫ И ПРАКТИКА</t>
  </si>
  <si>
    <t>Кибанов А.Я.</t>
  </si>
  <si>
    <t>978-5-16-011280-0</t>
  </si>
  <si>
    <t>38.04.02, 38.04.03, 23.03.01, 38.03.01, 38.03.02, 38.03.03, 44.03.01, 41.03.06, 51.03.02</t>
  </si>
  <si>
    <t>778787.01.01</t>
  </si>
  <si>
    <t>Управление персоналом в России: политика многообр..: Кн.10: Моногр. / И.Б.Дуракова-М.:НИЦ ИНФРА-М,2023-345с.(П)</t>
  </si>
  <si>
    <t>УПРАВЛЕНИЕ ПЕРСОНАЛОМ В РОССИИ: ПОЛИТИКА МНОГООБРАЗИЯ И ИНКЛЮЗИВНОСТИ. КНИГА 10</t>
  </si>
  <si>
    <t>Дуракова И.Б., Пугач С.П., Митрофанова Е.А. и др.</t>
  </si>
  <si>
    <t>978-5-16-017791-5</t>
  </si>
  <si>
    <t>278500.07.01</t>
  </si>
  <si>
    <t>Управление персоналом в России: теория...: Кн.2: Моногр. / Кибанов А.Я. - М.:НИЦ ИНФРА-М,2022 - 283с(О)</t>
  </si>
  <si>
    <t>УПРАВЛЕНИЕ ПЕРСОНАЛОМ В РОССИИ: ТЕОРИЯ, ОТЕЧЕСТВЕННАЯ И ЗАРУБЕЖНАЯ ПРАКТИКА: КНИГА 2</t>
  </si>
  <si>
    <t>Кибанов А.Я., Генкин Б.М., Лаврентьева И.В. и др.</t>
  </si>
  <si>
    <t>978-5-16-009810-4</t>
  </si>
  <si>
    <t>278300.09.01</t>
  </si>
  <si>
    <t>Управление персоналом на основе компетенций: Моногр./ О.Л.Чуланова-М.:НИЦ ИНФРА-М,2023.-122 с.(О)</t>
  </si>
  <si>
    <t>УПРАВЛЕНИЕ ПЕРСОНАЛОМ НА ОСНОВЕ КОМПЕТЕНЦИЙ</t>
  </si>
  <si>
    <t>978-5-16-009808-1</t>
  </si>
  <si>
    <t>420800.08.01</t>
  </si>
  <si>
    <t>Управление персоналом на предприятии туризма: Уч. / Т.В. Бедяева - М.: НИЦ ИНФРА-М, 2024-180с.(ВО) (п)</t>
  </si>
  <si>
    <t>УПРАВЛЕНИЕ ПЕРСОНАЛОМ НА ПРЕДПРИЯТИИ ТУРИЗМА</t>
  </si>
  <si>
    <t>Бедяева Т. В., Захаров А. С., Богданов Е. И.</t>
  </si>
  <si>
    <t>978-5-16-006295-2</t>
  </si>
  <si>
    <t>43.03.02, 38.04.03, 43.04.02, 38.03.01, 38.03.03</t>
  </si>
  <si>
    <t>015861.25.01</t>
  </si>
  <si>
    <t>Управление персоналом орг.: Практ.: Уч.пос. / А.Я.Кибанов - 2 изд. - М.:НИЦ ИНФРА-М,2022 - 365 с.(ВО)(П)</t>
  </si>
  <si>
    <t>УПРАВЛЕНИЕ ПЕРСОНАЛОМ ОРГАНИЗАЦИИ: ПРАКТИКУМ, ИЗД.2</t>
  </si>
  <si>
    <t>978-5-16-016092-4</t>
  </si>
  <si>
    <t>38.04.02, 38.04.03, 38.04.04, 38.05.01, 38.05.02, 38.03.02, 38.03.04, 38.03.03, 44.03.01</t>
  </si>
  <si>
    <t>Рекомендовано Министерством образования Российской Федерации в качестве учебного пособия для студентов высших учебных заведений, обучающихся по направлениям 38.03.02 «Менеджмент организации», 38.03.03 «Управление персоналом»</t>
  </si>
  <si>
    <t>0204</t>
  </si>
  <si>
    <t>679074.04.01</t>
  </si>
  <si>
    <t>Управление персоналом орг.: соврем. тех.: Уч. / Сотникова С.И.- 2 изд.-М.:НИЦ ИНФРА-М,2023-513с.(П)</t>
  </si>
  <si>
    <t>УПРАВЛЕНИЕ ПЕРСОНАЛОМ ОРГАНИЗАЦИИ: СОВРЕМЕННЫЕ ТЕХНОЛОГИИ, ИЗД.2</t>
  </si>
  <si>
    <t>Сотникова С.И., Маслов Е.В., Абакумова Н.Н. и др.</t>
  </si>
  <si>
    <t>978-5-16-014117-6</t>
  </si>
  <si>
    <t>Рекомендовано Советом Учебно-методического объединения по образованию в области менеджмента в качестве учебника для обучающихся по программам высшего образования направлений подготовки 38.03.03 «Управление персоналом», 38.03.02 «Менеджмент» (квалификация (степень) «бакалавр»)</t>
  </si>
  <si>
    <t>002881.30.01</t>
  </si>
  <si>
    <t>Управление персоналом орг.: Уч. / Под ред. Кибанова А.Я - 4 изд., -М.:НИЦ ИНФРА-М,2023-695с(ВО)(П)</t>
  </si>
  <si>
    <t>УПРАВЛЕНИЕ ПЕРСОНАЛОМ ОРГАНИЗАЦИИ, ИЗД.4</t>
  </si>
  <si>
    <t>Кибанов А.Я., Баткаева И.А., Ивановская Л.В. и др.</t>
  </si>
  <si>
    <t>978-5-16-003671-7</t>
  </si>
  <si>
    <t>38.03.10, 21.05.06, 40.05.03, 55.05.04, 15.05.01, 25.05.05, 23.05.04, 23.05.06, 23.03.01, 26.03.01, 25.03.01, 25.03.04, 38.03.01, 38.03.02, 38.03.04, 38.03.03, 37.03.02, 44.03.01, 41.03.06</t>
  </si>
  <si>
    <t>Рекомендовано Министерством образования Российской Федерации в качестве учебника для студентов высших учебных заведений, обучающихся по специальностям «Менеджмент организации», «Управление персоналом», «Экономика труда»</t>
  </si>
  <si>
    <t>0409</t>
  </si>
  <si>
    <t>063730.15.01</t>
  </si>
  <si>
    <t>Управление персоналом организации: стратегия..: Уч. пос./А.Я.Кибанов-М: НИЦ ИНФРА-М,2024-301с(ВО)(П)</t>
  </si>
  <si>
    <t>УПРАВЛЕНИЕ ПЕРСОНАЛОМ ОРГАНИЗАЦИИ: СТРАТЕГИЯ, МАРКЕТИНГ, ИНТЕРНАЦИОНАЛИЗАЦИЯ</t>
  </si>
  <si>
    <t>Кибанов А. Я., Дуракова И. Б.</t>
  </si>
  <si>
    <t>978-5-16-006649-3</t>
  </si>
  <si>
    <t>Рекомендовано УМО вузов России по образованию в области менеджмента в качестве учебного пособия для студентов высших учебных заведений, обучающихся по направлениям «Менеджмент» и «Управление персоналом»</t>
  </si>
  <si>
    <t>487800.05.01</t>
  </si>
  <si>
    <t>Управление персоналом организации: Уч. / Под ред. Миневой О.К.-М.:НИЦ ИНФРА-М,2021-160с.(ВО)(О)</t>
  </si>
  <si>
    <t>УПРАВЛЕНИЕ ПЕРСОНАЛОМ ОРГАНИЗАЦИИ: ТЕХНОЛОГИИ УПРАВЛЕНИЯ РАЗВИТИЕМ ПЕРСОНАЛА</t>
  </si>
  <si>
    <t>Минева О.К., Ахунжанова И.Н., Мордасова Т.А. и др.</t>
  </si>
  <si>
    <t>978-5-16-011743-0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</si>
  <si>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высшего образования по направлению подготовки 38.03.03 «Управление персоналом»</t>
  </si>
  <si>
    <t>632225.04.01</t>
  </si>
  <si>
    <t>Управление персоналом организации: Уч.пос. / Г.В.Суслов - М.:ИЦ РИОР, НИЦ ИНФРА-М,2020-154с.(ВО)(О)</t>
  </si>
  <si>
    <t>УПРАВЛЕНИЕ ПЕРСОНАЛОМ ОРГАНИЗАЦИИ</t>
  </si>
  <si>
    <t>Суслов Г.В.</t>
  </si>
  <si>
    <t>978-5-369-01564-3</t>
  </si>
  <si>
    <t>38.02.04, 31.02.04, 38.02.07, 38.02.03, 38.03.01, 38.03.03, 44.03.01</t>
  </si>
  <si>
    <t>Институт мировой экономики и информатизации</t>
  </si>
  <si>
    <t>178600.06.01</t>
  </si>
  <si>
    <t>Управление персоналом: ассессмент, комплек..: Уч. пос./Е.В.Куприянчук-ИЦ РИОР:Инфра-М, 2023-255с(ВО) (п)</t>
  </si>
  <si>
    <t>УПРАВЛЕНИЕ ПЕРСОНАЛОМ: АССЕССМЕНТ, КОМПЛЕКТОВАНИЕ, АДАПТАЦИЯ, РАЗВИТИЕ</t>
  </si>
  <si>
    <t>Куприянчук Е. В., Щербакова Ю. В.</t>
  </si>
  <si>
    <t>978-5-369-01061-7</t>
  </si>
  <si>
    <t>38.02.04, 31.02.04, 38.02.07, 38.02.03, 23.03.01, 38.03.01, 38.03.03, 44.03.01, 41.03.06, 51.03.02</t>
  </si>
  <si>
    <t>445050.05.01</t>
  </si>
  <si>
    <t>Управление персоналом: вариативные уч..: Уч.пос. / Под ред. Кибанова А.Я.-М.:НИЦ ИНФРА-М,2017-278с.</t>
  </si>
  <si>
    <t>УПРАВЛЕНИЕ ПЕРСОНАЛОМ: ВАРИАТИВНЫЕ УЧЕБНЫЕ ДИСЦИПЛИНЫ, КУРСОВЫЕ ПРОЕКТЫ. БАКАЛАВРСКАЯ ПРОГРАММА "ЭКОНОМИКА ТРУДА"</t>
  </si>
  <si>
    <t>978-5-16-006930-2</t>
  </si>
  <si>
    <t>Рекомендовано Советом УМО по образованию в области менеджмента в качестве учебного пособия для студентов высших учебных заведений, обучающихся по направлению подготовки «Управление персоналом» 080400 (квалификация (степень) — «бакалавр», профиль «Эко</t>
  </si>
  <si>
    <t>337500.04.01</t>
  </si>
  <si>
    <t>Управление персоналом: деловая карьера: Уч. пос./С.И.Сотникова- 2 изд.-М.:ИЦ РИОР, НИЦ ИНФРА-М,2023.-328 с(П)</t>
  </si>
  <si>
    <t>УПРАВЛЕНИЕ ПЕРСОНАЛОМ: ДЕЛОВАЯ КАРЬЕРА, ИЗД.2</t>
  </si>
  <si>
    <t>Сотникова С.И.</t>
  </si>
  <si>
    <t>978-5-369-01455-4</t>
  </si>
  <si>
    <t>38.02.04, 31.02.04, 38.02.07, 38.02.03, 38.04.03, 23.03.01, 38.03.01, 38.03.03, 44.03.01, 41.03.06, 51.03.02</t>
  </si>
  <si>
    <t>Рекомендовано Советом УМО по образованию в области менеджмента в качестве учебного пособия для студентов высших учебных заведений, обучающихся по направлению подготовки «Управление персоналом» (квалификация (степень) «бакалавр")</t>
  </si>
  <si>
    <t>142100.08.01</t>
  </si>
  <si>
    <t>Управление персоналом: конкурентоспособность выпускн..:Моногр./А.Я.Кибанов-М.:НИЦ ИНФРА-М,2023-228с.</t>
  </si>
  <si>
    <t>УПРАВЛЕНИЕ ПЕРСОНАЛОМ: КОНКУРЕНТОСПОСОБНОСТЬ ВЫПУСКНИКОВ ВУЗОВ НА РЫНКЕ ТРУДА</t>
  </si>
  <si>
    <t>Кибанов А. Я., Дмитриева Ю. А.</t>
  </si>
  <si>
    <t>978-5-16-004751-5</t>
  </si>
  <si>
    <t>187200.05.01</t>
  </si>
  <si>
    <t>Управление персоналом: курсовые проекты, выпускная квалификационная работа: уч.пос. / Под ред. Кибанов А.Я.-М.:НИЦ ИНФРА-М,2018.-407 с..-(Высшее образ</t>
  </si>
  <si>
    <t>УПРАВЛЕНИЕ ПЕРСОНАЛОМ: КУРСОВЫЕ ПРОЕКТЫ, ВЫПУСКНАЯ КВАЛИФИКАЦИОННАЯ РАБОТА</t>
  </si>
  <si>
    <t>978-5-16-005575-6</t>
  </si>
  <si>
    <t>Рекомендовано Советом УМО по образованию в области менеджмента в качестве учебного пособия для студентов вузов, обучающихся  по направлению подготовки 080400 "Управление персоналом" (квалификация (степень) - "бакалавр")</t>
  </si>
  <si>
    <t>185900.06.01</t>
  </si>
  <si>
    <t>Управление персоналом: программы уч. дисципл...: Уч.пос. / А.Я.Кибанов - М.:НИЦ ИНФРА-М,2020-349 с.(п)</t>
  </si>
  <si>
    <t>УПРАВЛЕНИЕ ПЕРСОНАЛОМ: ПРОГРАММЫ УЧЕБНЫХ ДИСЦИПЛИН, ПРАКТИК, ГОСУДАРСТВЕННОГО ЭКЗАМЕНА, МАГИСТЕРСКАЯ ДИССЕРТАЦИЯ</t>
  </si>
  <si>
    <t>Кибанов А.Я., Баткаева И.А., Белова О.Л. и др.</t>
  </si>
  <si>
    <t>978-5-16-005606-7</t>
  </si>
  <si>
    <t>183900.04.01</t>
  </si>
  <si>
    <t>Управление персоналом: программы учеб. дисциплин...: Уч. пос./А.Я.Кибанов - М:ИНФРА-М,2015-506с.(ВО)</t>
  </si>
  <si>
    <t>УПРАВЛЕНИЕ ПЕРСОНАЛОМ: ПРОГРАММЫ УЧЕБНЫХ ДИСЦИПЛИН, ПРАКТИК, ГОСУДАРСТВЕННОГО ЭКЗАМЕНА</t>
  </si>
  <si>
    <t>Кибанов А. Я., Баткаева И. А., Белова О. Л., Вагин В. И., Кибанов А. Я.</t>
  </si>
  <si>
    <t>978-5-16-005577-0</t>
  </si>
  <si>
    <t>38.02.04, 31.02.04, 38.02.07, 38.02.03, 38.04.03, 38.03.01, 38.03.03, 44.03.01, 41.03.06, 12.02.10</t>
  </si>
  <si>
    <t>065700.12.01</t>
  </si>
  <si>
    <t>Управление персоналом: разв. труд. потенц.: Уч.пос. /М.И.Бухалков - М.: НИЦ ИНФРА-М, 2023 -191с(П)</t>
  </si>
  <si>
    <t>УПРАВЛЕНИЕ ПЕРСОНАЛОМ: РАЗВИТИЕ ТРУДОВОГО ПОТЕНЦИАЛА</t>
  </si>
  <si>
    <t>978-5-16-010654-0</t>
  </si>
  <si>
    <t>Допущено Учебно-методическим объединением вузов России по образованию в области менеджмента в качестве учебного пособия для студентов высших учебных заведений, обучающихся по направлению 38.04.02 «Менеджмент»</t>
  </si>
  <si>
    <t>108550.14.01</t>
  </si>
  <si>
    <t>Управление персоналом: Уч.  / И.Б. Дуракова - М.:ИНФРА-М, 2023 - 570 с.(ВО) (П)</t>
  </si>
  <si>
    <t>УПРАВЛЕНИЕ ПЕРСОНАЛОМ</t>
  </si>
  <si>
    <t>Дуракова И. Б., Волкова Л. П., Кобцева Е. Н., Полякова О. Н.</t>
  </si>
  <si>
    <t>978-5-16-003563-5</t>
  </si>
  <si>
    <t>38.02.04, 31.02.04, 38.02.07, 38.02.03, 38.04.01, 38.04.02, 38.04.03, 38.04.04, 23.03.01, 38.03.01, 38.03.02, 38.03.04, 38.03.03, 44.03.01, 41.03.06, 51.03.02</t>
  </si>
  <si>
    <t>Рекомендовано УМО вузов России по образованию в области менеджмента в качестве учебника для студентов вузов, обучающихся по специальностям Менеджмент организации, Управение персоналом</t>
  </si>
  <si>
    <t>082420.06.01</t>
  </si>
  <si>
    <t>Управление персоналом: Уч. / А.Я.Кибанов и др.-М.:ИЦ РИОР,2020.-288 с..-(ВО) (О.к/ф)</t>
  </si>
  <si>
    <t>Кибанов А.Я., Ивановская Л.В., Митрофанова Е.А.</t>
  </si>
  <si>
    <t>Высшее образование (карман. формат)</t>
  </si>
  <si>
    <t>978-5-369-00151-6</t>
  </si>
  <si>
    <t>38.02.04, 21.02.12, 31.02.04, 38.02.07, 38.02.03, 23.03.01, 38.03.01, 38.03.02, 38.03.03, 44.03.01, 41.03.06</t>
  </si>
  <si>
    <t>Рекомендовано Советом Учебно-методического объединения ВУЗов России по образованию в области менеджмента в качестве учебника по специальностям "Менеджмент организации", "Гос. и муниц. упр.", "Маркетинг", "Информационный менеджмент"</t>
  </si>
  <si>
    <t>060800.13.01</t>
  </si>
  <si>
    <t>Управление персоналом: Уч. / М.И. Бухалков. - 2-е изд.- М.: ИНФРА-М, 2024. - 400 с. - (ВО) (п)</t>
  </si>
  <si>
    <t>УПРАВЛЕНИЕ ПЕРСОНАЛОМ, ИЗД.2</t>
  </si>
  <si>
    <t>978-5-16-003112-5</t>
  </si>
  <si>
    <t>Допущено Учебно-методическим объединением по образованию в области производственного менеджмента в качестве учебного пособия для студентов экономических специальностей вузов</t>
  </si>
  <si>
    <t>0208</t>
  </si>
  <si>
    <t>071570.19.01</t>
  </si>
  <si>
    <t>Управление персоналом: Уч. / Т.В.Зайцева - М.:ИД ФОРУМ, НИЦ ИНФРА-М,2023 - 336 с.(СПО)(П)</t>
  </si>
  <si>
    <t>Зайцева Т. В., Зуб А. Т.</t>
  </si>
  <si>
    <t>978-5-8199-0911-9</t>
  </si>
  <si>
    <t>38.02.04, 21.02.12, 08.02.01, 31.02.04, 38.02.07, 38.02.01, 38.02.03, 44.03.01, 54.01.20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</si>
  <si>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</si>
  <si>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402100.08.01</t>
  </si>
  <si>
    <t>Управление персоналом: Уч. пос. / А.Я.Кибанов - М.: НИЦ ИНФРА-М, 2023 - 238с.(ВО: Бакалавриат)(П)</t>
  </si>
  <si>
    <t>Кибанов А.Я., Гагаринская Г.П., Калмыкова О.Ю. и др.</t>
  </si>
  <si>
    <t>978-5-16-006102-3</t>
  </si>
  <si>
    <t>23.03.01, 38.03.01, 38.03.02, 38.03.03, 44.03.01, 41.03.06, 51.03.02</t>
  </si>
  <si>
    <t>Рекомендовано Советом УМО по образованию в области менеджмента в качестве учебного пособия для студентов высших учебных заведений, обучающихся по направлениям подготовки «Менеджмент», «Государственное и муниципальное управление», «Управление персонал</t>
  </si>
  <si>
    <t>189300.08.01</t>
  </si>
  <si>
    <t>Управление персоналом: уч.пос. / Под ред. Бычков В.П.-М.:НИЦ ИНФРА-М,2024.-237 с..-(ВО: Бакалавриат)(п)</t>
  </si>
  <si>
    <t>Бычков В. П., Бугаков В. М., Гончаров В. Н., Бычков В. П.</t>
  </si>
  <si>
    <t>978-5-16-005305-9</t>
  </si>
  <si>
    <t>38.02.04, 31.02.04, 38.02.07, 38.02.03, 38.04.03, 38.04.04, 23.03.01, 38.03.01, 38.03.04, 38.03.03, 44.03.01, 41.03.06, 51.03.02</t>
  </si>
  <si>
    <t>Допущено УМО по образованию в области производственного менеджмента в качестве учебного пособия для студентов высших учебных заведений, обучающихся по специальности 080502 "Экономика и управление на предприятии"</t>
  </si>
  <si>
    <t>444050.05.01</t>
  </si>
  <si>
    <t>Управление персоналом:... Бакалавр. прогр. "Управ...": Уч. пос. /А.Я.Кибанов - ИНФРА-М, 2020-315с(п)</t>
  </si>
  <si>
    <t>УПРАВЛЕНИЕ ПЕРСОНАЛОМ: ВАРИАТИВНЫЕ УЧЕБНЫЕ ДИСЦИПЛИНЫ, КУРСОВЫЕ ПРОЕКТЫ. БАКАЛАВРСКАЯ ПРОГРАММА "УПРАВЛЕНИЕ ПЕРСОНАЛОМ ОРГАНИЗАЦИИ"</t>
  </si>
  <si>
    <t>978-5-16-006903-6</t>
  </si>
  <si>
    <t>38.02.04, 31.02.04, 38.02.07, 38.02.03, 38.04.03, 38.03.01, 38.03.03, 44.03.01, 41.03.06</t>
  </si>
  <si>
    <t>Рекомендовано Советом УМО по образованию в области менеджмента в качестве учебного пособия для студентов высших учебных заведений, обучающихся по направлению подготовки 080400 «Управление персоналом» (квалификация (степень) - «бакалавр»), профиль «Уп</t>
  </si>
  <si>
    <t>698266.01.01</t>
  </si>
  <si>
    <t>Управление портфелем в системе Thomson Reuters: Уч.пос. / А.Ю.Михайлов-М.:НИЦ ИНФРА-М,2020.-104 с.(ВО)(О)</t>
  </si>
  <si>
    <t>УПРАВЛЕНИЕ ПОРТФЕЛЕМ В СИСТЕМЕ THOMSON REUTERS</t>
  </si>
  <si>
    <t>Михайлов А.Ю.</t>
  </si>
  <si>
    <t>978-5-16-014672-0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</si>
  <si>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38.04.02 «Менеджмент» (квалификация (степень) «магистр») (протокол № 5 от 26.03.2020)</t>
  </si>
  <si>
    <t>645292.04.01</t>
  </si>
  <si>
    <t>Управление продажами: Уч. / С.В.Земляк и др . -М.:Вуз. уч., НИЦ ИНФРА-М,2023 - 300 с.(П)</t>
  </si>
  <si>
    <t>УПРАВЛЕНИЕ ПРОДАЖАМИ</t>
  </si>
  <si>
    <t>Земляк С.В., Гусарова О.М., Жильцов Д.А. и др.</t>
  </si>
  <si>
    <t>978-5-9558-0531-3</t>
  </si>
  <si>
    <t>120200.08.01</t>
  </si>
  <si>
    <t>Управление проектами в машиностроении: Уч. пос./ Ю.С. Перевощиков. -ИНФРА-М,2024. -233с. (ВО) (п)</t>
  </si>
  <si>
    <t>УПРАВЛЕНИЕ ПРОЕКТАМИ В МАШИНОСТРОЕНИИ</t>
  </si>
  <si>
    <t>Перевощиков Ю. С.</t>
  </si>
  <si>
    <t>978-5-16-003656-4</t>
  </si>
  <si>
    <t>43.02.10, 38.02.01, 15.03.01, 38.04.09, 38.04.02, 38.04.03, 15.04.01, 15.04.05, 15.04.04, 15.04.06, 38.03.01, 38.03.07, 38.03.02, 38.03.03, 44.03.01, 44.03.05</t>
  </si>
  <si>
    <t>Допущено УМО вузов по образованию в области автоматизированного машиностроения (УМО АМ) в качестве учебного пособия для студентов вузов, обуч. по напр. ПДС "Конструкторско-технол. обеспечение машиностроительных прозводств"</t>
  </si>
  <si>
    <t>Удмуртский государственный университет</t>
  </si>
  <si>
    <t>765393.01.01</t>
  </si>
  <si>
    <t>Управление проектами в машиностроении: Уч.пос. / Ю.С.Перевощиков.-М.:НИЦ ИНФРА-М,2022.-234 с.(СПО)(П)</t>
  </si>
  <si>
    <t>Перевощиков Ю.С., Дырин С.П., Жарина Н.А. и др.</t>
  </si>
  <si>
    <t>978-5-16-017180-7</t>
  </si>
  <si>
    <t>15.02.08, 38.02.01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</si>
  <si>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и экономическим специальностям (протокол № 4 от 21.04.2021)</t>
  </si>
  <si>
    <t>352100.08.01</t>
  </si>
  <si>
    <t>Управление проектами...: Уч.пос. / Г.А.Поташева - М.:НИЦ ИНФРА-М,2024 - 224 с.-(ВО: Бакалавриат) (П)</t>
  </si>
  <si>
    <t>УПРАВЛЕНИЕ ПРОЕКТАМИ (ПРОЕКТНЫЙ МЕНЕДЖМЕНТ)</t>
  </si>
  <si>
    <t>978-5-16-019053-2</t>
  </si>
  <si>
    <t>472900.07.01</t>
  </si>
  <si>
    <t>Управление проектами: практ.: Уч. пос. / О.Г.Тихомирова-М.:НИЦ ИНФРА-М,2023-273 с.(ВО)(п)</t>
  </si>
  <si>
    <t>УПРАВЛЕНИЕ ПРОЕКТАМИ: ПРАКТИКУМ</t>
  </si>
  <si>
    <t>978-5-16-018585-9</t>
  </si>
  <si>
    <t>752735.04.01</t>
  </si>
  <si>
    <t>Управление проектами: Уч. / Д.Д.Цителадзе - М.:НИЦ ИНФРА-М,2024 - 361 с.(ВО)(п)</t>
  </si>
  <si>
    <t>УПРАВЛЕНИЕ ПРОЕКТАМИ</t>
  </si>
  <si>
    <t>978-5-16-018658-0</t>
  </si>
  <si>
    <t>38.03.02, 39.03.03</t>
  </si>
  <si>
    <t>662562.08.01</t>
  </si>
  <si>
    <t>Управление проектами: Уч. / Под ред. Филимонова Н.М.-М.:НИЦ ИНФРА-М,2024.-349 с..-(ВО)(п)</t>
  </si>
  <si>
    <t>Базилевич А.И., Денисенко В.И., Захаров П.Н. и др.</t>
  </si>
  <si>
    <t>978-5-16-018978-9</t>
  </si>
  <si>
    <t>38.04.01, 38.04.02, 38.04.05, 38.03.01, 38.03.05, 38.03.02</t>
  </si>
  <si>
    <t>Рекомендовано в качестве учебника для студентов высших учебных заведений, обучающихся по направлениям подготовки 38.03.02 «Менеджмент», 38.03.01 «Экономика» (квалификация (степень) «бакалавр»)</t>
  </si>
  <si>
    <t>Финансовый университет при Правительстве Российской Федерации, Орловский ф-л</t>
  </si>
  <si>
    <t>114650.10.01</t>
  </si>
  <si>
    <t>Управление проектами: Уч.пос. / А.М.Афонин - М.:Форум, НИЦ ИНФРА-М,2023 - 184 с.(СПО)(О)</t>
  </si>
  <si>
    <t>Афонин А.М., Царегородцев Ю.Н., Петрова С.А.</t>
  </si>
  <si>
    <t>978-5-91134-372-9</t>
  </si>
  <si>
    <t>38.02.04, 38.02.06, 38.02.01, 38.02.03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</si>
  <si>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</si>
  <si>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081050.15.01</t>
  </si>
  <si>
    <t>Управление проектами: Уч.пос. / М.В.Романова - М.:ИД ФОРУМ,НИЦ ИНФРА-М,2024-256с.(ВО)(п)</t>
  </si>
  <si>
    <t>Романова М. В.</t>
  </si>
  <si>
    <t>978-5-8199-0308-7</t>
  </si>
  <si>
    <t>15.02.07, 08.02.01, 08.02.04, 40.02.01, 38.02.07, 38.02.01, 38.02.03, 39.04.03, 38.04.01, 38.04.02, 38.04.03, 38.04.04, 38.03.01, 38.03.02, 38.03.04, 38.03.03, 44.03.01, 44.03.05, 39.03.03, 41.03.06</t>
  </si>
  <si>
    <t>Допущено Советом Учебно-методического объединения вузов России по образованию в области менеджмента в качестве учебного пособия по дисциплине специализации специальности "Менеджмент организации"</t>
  </si>
  <si>
    <t>062200.19.01</t>
  </si>
  <si>
    <t>Управление проектами: Уч.пос. / Ю.И.Попов - М.:НИЦ ИНФРА-М,2024 - 208 с.(Уч.и для программы MBA)(П)</t>
  </si>
  <si>
    <t>Попов Ю. И., Яковенко О. В.</t>
  </si>
  <si>
    <t>978-5-16-002337-3</t>
  </si>
  <si>
    <t>38.04.01, 38.04.08, 38.04.02, 38.04.04, 38.06.01, 38.03.02, 41.03.06</t>
  </si>
  <si>
    <t>428800.10.01</t>
  </si>
  <si>
    <t>Управление проектом: компл.подход и сист..: Моногр./О.Г.Тихомирова - НИЦ ИНФРА-М,2024 - 300с. (Науч.мысль)(О)</t>
  </si>
  <si>
    <t>УПРАВЛЕНИЕ ПРОЕКТОМ: КОМПЛЕКСНЫЙ ПОДХОД И СИСТЕМНЫЙ АНАЛИЗ</t>
  </si>
  <si>
    <t>978-5-16-006383-6</t>
  </si>
  <si>
    <t>469800.05.01</t>
  </si>
  <si>
    <t>Управление промышл.разв.в усл.отсталой технол.среды: Моногр. / В.Н.Юсим-М.:НИЦ ИНФРА-М,2024-200с.(п)</t>
  </si>
  <si>
    <t>УПРАВЛЕНИЕ ПРОМЫШЛЕННЫМ РАЗВИТИЕМ В УСЛОВИЯХ ОТСТАЛОЙ ТЕХНОЛОГИЧЕСКОЙ СРЕДЫ</t>
  </si>
  <si>
    <t>Юсим В.Н., Афанасьева М.В., Быстров А.В. и др.</t>
  </si>
  <si>
    <t>978-5-16-011789-8</t>
  </si>
  <si>
    <t>38.04.01, 38.04.02, 38.04.04, 38.06.01, 44.03.05</t>
  </si>
  <si>
    <t>677155.03.01</t>
  </si>
  <si>
    <t>Управление промышленными предпр...: Моногр. / Под ред. Логиновского О.В. - М.:НИЦ ИНФРА-М,2022 - 410с(П)</t>
  </si>
  <si>
    <t>УПРАВЛЕНИЕ ПРОМЫШЛЕННЫМИ ПРЕДПРИЯТИЯМИ: СТРАТЕГИИ, МЕХАНИЗМЫ, СИСТЕМЫ</t>
  </si>
  <si>
    <t>Логиновский О.В., Бурков В.Н., Буркова И.В. и др.</t>
  </si>
  <si>
    <t>978-5-16-013606-6</t>
  </si>
  <si>
    <t>354300.05.01</t>
  </si>
  <si>
    <t>Управление процес. созд. техн. систем для АПК: Уч. /А.Л. Эйдис -М.: НИЦ ИНФРА-М, 2023 -188с. (ВО) (о)</t>
  </si>
  <si>
    <t>УПРАВЛЕНИЕ ПРОЦЕССОМ СОЗДАНИЯ ТЕХНИЧЕСКИХ СИСТЕМ ДЛЯ АПК</t>
  </si>
  <si>
    <t>ЭйдисА.Л., ПарлюкЕ.П.</t>
  </si>
  <si>
    <t>978-5-16-010897-1</t>
  </si>
  <si>
    <t>08.02.04, 35.03.06</t>
  </si>
  <si>
    <t>Рекомендовано в качестве учебного пособия для студентов высших учебных заведений, обучающихся по направлениям подготовки 35.03.06 «Агроинженерия», 23.03.02 «Наземные транспортно-технологические комплексы» (квалификация (степень) бакалавриат)</t>
  </si>
  <si>
    <t>795868.01.01</t>
  </si>
  <si>
    <t>Управление развитием высокотехнологичного промыш. компл. / Ю.В.Данейкин-М.:НИЦ ИНФРА-М,2023.-284 с.(п)</t>
  </si>
  <si>
    <t>УПРАВЛЕНИЕ РАЗВИТИЕМ ВЫСОКОТЕХНОЛОГИЧНОГО ПРОМЫШЛЕННОГО КОМПЛЕКСА</t>
  </si>
  <si>
    <t>Данейкин Ю.В.</t>
  </si>
  <si>
    <t>978-5-16-018126-4</t>
  </si>
  <si>
    <t>38.04.01, 38.06.01</t>
  </si>
  <si>
    <t>Новгородский государственный университет им. Ярослава Мудрого</t>
  </si>
  <si>
    <t>340400.05.01</t>
  </si>
  <si>
    <t>Управление развитием инновац.деят. в регионах России / А.А.Харин - М.:НИЦ ИНФРА-М,2022-213с.(Науч.мысль)</t>
  </si>
  <si>
    <t>УПРАВЛЕНИЕ РАЗВИТИЕМ ИННОВАЦИОННОЙ ДЕЯТЕЛЬНОСТИ В РЕГИОНАХ РОССИИ, ИЗД.2</t>
  </si>
  <si>
    <t>А.А.Харин, А.В.Рождественский, И.Л.Коленский и др.</t>
  </si>
  <si>
    <t>978-5-16-010736-3</t>
  </si>
  <si>
    <t>38.04.02, 27.04.05, 38.03.01, 38.03.02</t>
  </si>
  <si>
    <t>27</t>
  </si>
  <si>
    <t>Московский государственный технологический университет "Станкин"</t>
  </si>
  <si>
    <t>179400.09.01</t>
  </si>
  <si>
    <t>Управление развитием туристского комплекса муниц. обр.: Уч. пос. / А.Э.Саак-М:КУРС,НИЦ ИНФРА-М,2022-304с.(П)</t>
  </si>
  <si>
    <t>УПРАВЛЕНИЕ РАЗВИТИЕМ ТУРИСТСКОГО КОМПЛЕКСА МУНИЦИПАЛЬНОГО ОБРАЗОВАНИЯ</t>
  </si>
  <si>
    <t>Саак А. Э., Жертовская Е. В.</t>
  </si>
  <si>
    <t>978-5-905554-12-4</t>
  </si>
  <si>
    <t>43.03.02, 38.04.02, 38.04.04, 43.04.02, 38.03.02, 38.03.04, 44.03.05, 49.03.03</t>
  </si>
  <si>
    <t>Допущено Советом Учебно-методического объединения вузов России по образованию в области менеджмента в качестве учебного пособия по специальности "Государственное и муниципальное управление"</t>
  </si>
  <si>
    <t>446900.05.01</t>
  </si>
  <si>
    <t>Управление разр.и внедр.нового продукта: Уч.пос. / Л.А.Борискова - М.:НИЦ ИНФРА-М,2022 - 272 с(ВО:Бакалавр)(п)</t>
  </si>
  <si>
    <t>УПРАВЛЕНИЕ РАЗРАБОТКОЙ И ВНЕДРЕНИЕМ НОВОГО ПРОДУКТА</t>
  </si>
  <si>
    <t>Борискова Л.А., Глебова О.В., Гусева И.Б.</t>
  </si>
  <si>
    <t>978-5-16-011407-1</t>
  </si>
  <si>
    <t>Рекомендовано Советом Учебно-методического объединения по образованию в области менеджмента в качестве учебного пособия для обучающихся по программам высшего образования направления подготовки 38.03.02 «Менеджмент"</t>
  </si>
  <si>
    <t>Нижегородский государственный технический университет им. Р.А. Алексеева</t>
  </si>
  <si>
    <t>447450.05.01</t>
  </si>
  <si>
    <t>Управление репутацией высшего учебного заведения: Моногр./ С.Д.Резник-М.:НИЦ ИНФРА-М,2020-227 с.(Науч.мысль)(О)</t>
  </si>
  <si>
    <t>УПРАВЛЕНИЕ РЕПУТАЦИЕЙ ВЫСШЕГО УЧЕБНОГО ЗАВЕДЕНИЯ</t>
  </si>
  <si>
    <t>Резник С. Д., Юдина Т. А.</t>
  </si>
  <si>
    <t>978-5-16-009031-3</t>
  </si>
  <si>
    <t>38.04.02, 38.06.01</t>
  </si>
  <si>
    <t>788195.01.01</t>
  </si>
  <si>
    <t>Управление рисками в сфере IT: Моногр. / А.В.Щербак-М.:НИЦ ИНФРА-М,2023.-243 с.(Науч.мысль)(о)</t>
  </si>
  <si>
    <t>УПРАВЛЕНИЕ РИСКАМИ В СФЕРЕ IT</t>
  </si>
  <si>
    <t>Щербак А.В.</t>
  </si>
  <si>
    <t>978-5-16-017972-8</t>
  </si>
  <si>
    <t>10.04.01, 38.04.05, 09.04.03, 09.04.01, 09.04.04, 09.04.02, 10.05.04, 10.05.01, 10.05.03, 10.05.05, 10.05.02, 09.06.01, 10.06.01, 38.06.01, 09.05.01, 10.05.07</t>
  </si>
  <si>
    <t>Академия управления городской средой, градостроительства и печати</t>
  </si>
  <si>
    <t>126950.04.01</t>
  </si>
  <si>
    <t>Управление рисками в услов. финанс. нестаб.: Уч.пос. / Д.В.Домащенко-М.:Магистр,ИНФРА-М,2017-238с(П)</t>
  </si>
  <si>
    <t>УПРАВЛЕНИЕ РИСКАМИ В УСЛОВИЯХ ФИНАНСОВОЙ НЕСТАБИЛЬНОСТИ</t>
  </si>
  <si>
    <t>Домащенко Д. В., Финогенова Ю. Ю.</t>
  </si>
  <si>
    <t>978-5-9776-0138-2</t>
  </si>
  <si>
    <t>38.04.09, 38.04.01, 38.04.08, 38.04.02, 38.04.04, 38.03.01, 38.03.02, 38.03.04</t>
  </si>
  <si>
    <t>421350.07.01</t>
  </si>
  <si>
    <t>Управление рисками и страхование в туризме / Т.А.Федорова - М.:Магистр, НИЦ ИНФРА-М,2024.-192 с.(О)</t>
  </si>
  <si>
    <t>УПРАВЛЕНИЕ РИСКАМИ И СТРАХОВАНИЕ В ТУРИЗМЕ</t>
  </si>
  <si>
    <t>Федорова Т. А.</t>
  </si>
  <si>
    <t>978-5-9776-0269-3</t>
  </si>
  <si>
    <t>43.03.02, 38.04.01, 38.04.08, 43.04.02, 38.03.01, 38.03.02, 49.03.03</t>
  </si>
  <si>
    <t>302800.15.01</t>
  </si>
  <si>
    <t>Управление рисками организации: Уч. / Г.Д.Антонов и др.-М.:НИЦ ИНФРА-М,2023.-153 с.(ВО:Бакалавр.)(П)</t>
  </si>
  <si>
    <t>УПРАВЛЕНИЕ РИСКАМИ ОРГАНИЗАЦИИ</t>
  </si>
  <si>
    <t>Антонов Г. Д., Иванова О. П., Тумин В. М.</t>
  </si>
  <si>
    <t>978-5-16-013060-6</t>
  </si>
  <si>
    <t>456250.04.01</t>
  </si>
  <si>
    <t>Управление рисками основ.участн.рынка долев.:Моногр./А.В.Берваль-НИЦ ИНФРА-М,2024-154(Науч.мысль)</t>
  </si>
  <si>
    <t>УПРАВЛЕНИЕ РИСКАМИ ОСНОВНЫХ УЧАСТНИКОВ РЫНКА ДОЛЕВОГО СТРОИТЕЛЬСТВА ЖИЛЬЯ</t>
  </si>
  <si>
    <t>Берваль А. В., Романова А. И.</t>
  </si>
  <si>
    <t>978-5-16-009377-2</t>
  </si>
  <si>
    <t>134700.13.01</t>
  </si>
  <si>
    <t>Управление рисками предприятия: Уч.пос. / В.Н.Уродовских-М.:Вуз.уч., НИЦ ИНФРА-М,2023.-168с.(П)</t>
  </si>
  <si>
    <t>УПРАВЛЕНИЕ РИСКАМИ ПРЕДПРИЯТИЯ</t>
  </si>
  <si>
    <t>Уродовских В.Н.</t>
  </si>
  <si>
    <t>978-5-9558-0158-2</t>
  </si>
  <si>
    <t>38.04.01, 38.04.08, 38.04.06, 38.04.02, 38.04.03, 38.04.04, 38.04.05, 38.03.01, 38.03.05, 38.03.06, 38.03.02, 38.03.04, 38.03.03</t>
  </si>
  <si>
    <t>Рекомендовано в качестве учебного пособия для студентов высших учебных заведений, обучающихся по направлению подготовки 38.03.02 «Менеджмент»</t>
  </si>
  <si>
    <t>186550.08.01</t>
  </si>
  <si>
    <t>Управление рынком детск.оздоров.туризма: Моногр./А.М.Ветитнев-М.:НИЦ ИНФРА-М,2023-138(Науч.мысль)(о)</t>
  </si>
  <si>
    <t>УПРАВЛЕНИЕ РЫНКОМ ДЕТСКОГО ОЗДОРОВИТЕЛЬНОГО ТУРИЗМА</t>
  </si>
  <si>
    <t>Ветитнев А. М., Оргина Е. В.</t>
  </si>
  <si>
    <t>978-5-16-005658-6</t>
  </si>
  <si>
    <t>43.03.02, 43.04.02</t>
  </si>
  <si>
    <t>683683.02.01</t>
  </si>
  <si>
    <t>Управление соц. адаптацией и мотивацией к...: Уч. / Минева О.К. - М.:НИЦ ИНФРА-М,2023 - 232 с.(П)</t>
  </si>
  <si>
    <t>УПРАВЛЕНИЕ СОЦИАЛЬНОЙ АДАПТАЦИЕЙ И МОТИВАЦИЕЙ К РАЗВИТИЮ В СОВРЕМЕННОМ ОБЩЕСТВЕ</t>
  </si>
  <si>
    <t>978-5-16-014739-0</t>
  </si>
  <si>
    <t>Рекомендовано федеральным государственным бюджетным учреждением «Федеральный институт развития образования» (ФГБУ «ФИРО») в качестве учебника для использования в образовательном процессе образовательных организаций, реализующих программы высшего образования по направлению подготовки 38.04.03 «Управление персоналом» (уровень магистратуры) (регистрационный номер рецензии № 40 от 13.02.2018)</t>
  </si>
  <si>
    <t>401800.09.01</t>
  </si>
  <si>
    <t>Управление соц. развитием орг..: Уч./ Н.О.Аблязова -М.:НИЦ Инфра-М,2023-416с.(ВО:Бакалавр.) (п)</t>
  </si>
  <si>
    <t>УПРАВЛЕНИЕ СОЦИАЛЬНЫМ РАЗВИТИЕМ ОРГАНИЗАЦИИ</t>
  </si>
  <si>
    <t>Аблязова Н. О., Аверкин М. Г., Гуськова И. В., Захарова С. Г., Золотов А. В., Егоршин А. П.</t>
  </si>
  <si>
    <t>978-5-16-005273-1</t>
  </si>
  <si>
    <t>072200.11.01</t>
  </si>
  <si>
    <t>Управление соц. развитием организации: Уч. / Н.Л.Захаров, - 2 изд.-М.:НИЦ ИНФРА-М,2023.-208 с.(ВО)(П)</t>
  </si>
  <si>
    <t>УПРАВЛЕНИЕ СОЦИАЛЬНЫМ РАЗВИТИЕМ ОРГАНИЗАЦИИ, ИЗД.2</t>
  </si>
  <si>
    <t>Захаров Н. Л., Кузнецов А. Л.</t>
  </si>
  <si>
    <t>978-5-16-005067-6</t>
  </si>
  <si>
    <t>39.04.02, 38.04.02, 38.04.03, 38.04.04, 38.03.01, 38.03.02, 38.03.04, 38.03.03, 41.03.06</t>
  </si>
  <si>
    <t>Допущено Мин. обр. и науки РФ  в качестве учебника  для студентов вузов, обучающихся по специальности  "Управление персоналом"</t>
  </si>
  <si>
    <t>472750.04.01</t>
  </si>
  <si>
    <t>Управление социально-техническими системами: Уч.пос. / А.Г.Фаррахов-М.:РИОР, ИНФРА-М,2024.-218 с.(ВО)(п)</t>
  </si>
  <si>
    <t>УПРАВЛЕНИЕ СОЦИАЛЬНО-ТЕХНИЧЕСКИМИ СИСТЕМАМИ</t>
  </si>
  <si>
    <t>Фаррахов А.Г.</t>
  </si>
  <si>
    <t>978-5-369-01370-0</t>
  </si>
  <si>
    <t>38.04.02, 23.04.01, 23.03.01, 38.03.02</t>
  </si>
  <si>
    <t>Рекомендовано федеральным государственным бюджетным учреждением высшего профессионального образования "Государственный университет управления» в качестве учебного пособия для студентов высших учебных заведений, обучающихся по направлению подготовки 1</t>
  </si>
  <si>
    <t>686401.04.01</t>
  </si>
  <si>
    <t>Управление спорт.инфраструктурой...: Монография / В.Г.Зарубин и др. - М.:НИЦ ИНФРА-М,2023 - 107с(О)</t>
  </si>
  <si>
    <t>УПРАВЛЕНИЕ СПОРТИВНОЙ ИНФРАСТРУКТУРОЙ: ОПЫТ СОЦИОЛОГИЧЕСКОГО И ФОРМАЛЬНО-МАТЕМАТИЧЕСКОГО АНАЛИЗА</t>
  </si>
  <si>
    <t>Зарубин В.Г., Макаридина В.А., Демков Д.В.</t>
  </si>
  <si>
    <t>978-5-16-014212-8</t>
  </si>
  <si>
    <t>39.04.01</t>
  </si>
  <si>
    <t>216300.07.01</t>
  </si>
  <si>
    <t>Управление стоимостью промыш. предприятий: Уч.пос. / В.А.Макарова-М.:НИЦ ИНФРА-М,2024.-188 с.(ВО)(о)</t>
  </si>
  <si>
    <t>УПРАВЛЕНИЕ СТОИМОСТЬЮ ПРОМЫШЛЕННЫХ ПРЕДПРИЯТИЙ</t>
  </si>
  <si>
    <t>Макарова В. А., Крылов А. А.</t>
  </si>
  <si>
    <t>978-5-16-006911-1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</si>
  <si>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080200.68 "Менеджмент" (квалификация (степень) «маги</t>
  </si>
  <si>
    <t>370500.04.01</t>
  </si>
  <si>
    <t>Управление стратегич. изменениями в орг.: Уч./А.Т.Зуб-М.:ИД ФОРУМ, НИЦ ИНФРА-М,2023.-384 с.(ВО)(П)</t>
  </si>
  <si>
    <t>УПРАВЛЕНИЕ СТРАТЕГИЧЕСКИМИ ИЗМЕНЕНИЯМИ В ОРГАНИЗАЦИЯХ</t>
  </si>
  <si>
    <t>Зуб А.Т.</t>
  </si>
  <si>
    <t>978-5-8199-0631-6</t>
  </si>
  <si>
    <t>Рекомендовано Ученым советом факультета государственного управления МГУ имени М.В. Ломоносова в качестве учебника для студентов, обучающихся в магистратуре по управленческим специальностям</t>
  </si>
  <si>
    <t>287900.04.01</t>
  </si>
  <si>
    <t>Управление труд. ресур. в инновац. процессах: Моногр. / В.К.Федоров - М:РИОР:ИНФРА-М,2022-208с. (о)</t>
  </si>
  <si>
    <t>УПРАВЛЕНИЕ ТРУДОВЫМИ РЕСУРСАМИ В ИННОВАЦИОННЫХ ПРОЦЕССАХ</t>
  </si>
  <si>
    <t>Федоров В.К., Черкасов М.Н., Луценко А.В. и др.</t>
  </si>
  <si>
    <t>978-5-369-01363-2</t>
  </si>
  <si>
    <t>38.00.00, 27.03.05, 27.04.07, 38.04.02, 38.04.03, 27.04.04, 27.04.05, 27.04.06, 27.06.01, 27.03.04, 38.03.02, 38.03.03, 44.03.01</t>
  </si>
  <si>
    <t>113000.11.01</t>
  </si>
  <si>
    <t>Управление трудовыми ресурсами: Уч. / Под ред. А.Я. Кибанова. - М.: ИНФРА-М, 2024. - 284 с. (ВО) (п)</t>
  </si>
  <si>
    <t>УПРАВЛЕНИЕ ТРУДОВЫМИ РЕСУРСАМИ</t>
  </si>
  <si>
    <t>Кибанов А. Я., Митрофанова Е. А., Эсаулова И. А., Кибанов А. Я.</t>
  </si>
  <si>
    <t>978-5-16-003651-9</t>
  </si>
  <si>
    <t>38.02.04, 31.02.04, 38.02.07, 38.02.03, 38.04.01, 38.04.02, 38.04.03, 38.04.04, 38.03.01, 38.03.02, 38.03.04, 38.03.03, 44.03.01</t>
  </si>
  <si>
    <t>278900.07.01</t>
  </si>
  <si>
    <t>Управление трудоустр. выпускник.вузов на рынке труда: Моногр./ А.Я.Кибанов - М.:НИЦ ИНФРА-М,2024 - 250с.(О)</t>
  </si>
  <si>
    <t>УПРАВЛЕНИЕ ТРУДОУСТРОЙСТВОМ ВЫПУСКНИКОВ ВУЗОВ НА РЫНКЕ ТРУДА</t>
  </si>
  <si>
    <t>Кибанов А.Я., Дмитриева Ю.А.</t>
  </si>
  <si>
    <t>978-5-16-009815-9</t>
  </si>
  <si>
    <t>091400.10.01</t>
  </si>
  <si>
    <t>Управление факультетом: Уч. / Под ред. Резника С.Д. - 2 изд. - М.:НИЦ ИНФРА-М,2019 - 336 с.(П)</t>
  </si>
  <si>
    <t>УПРАВЛЕНИЕ ФАКУЛЬТЕТОМ, ИЗД.2</t>
  </si>
  <si>
    <t>978-5-16-006612-7</t>
  </si>
  <si>
    <t>091400.12.01</t>
  </si>
  <si>
    <t>Управление факультетом: Уч. / Под ред. Резника С.Д. - 3 изд. - М.:НИЦ ИНФРА-М,2022 - 393 с.(П)</t>
  </si>
  <si>
    <t>УПРАВЛЕНИЕ ФАКУЛЬТЕТОМ, ИЗД.3</t>
  </si>
  <si>
    <t>Антонов А.В., Вдовина О.А., Двоеглазов В.В. и др.</t>
  </si>
  <si>
    <t>978-5-16-015376-6</t>
  </si>
  <si>
    <t>350900.04.01</t>
  </si>
  <si>
    <t>Управление ценами: Уч. / Карпов С.В.-М.:Вуз. уч., НИЦ ИНФРА-М,2022.-236 с..(Прикладной бакалавр.)(П)</t>
  </si>
  <si>
    <t>УПРАВЛЕНИЕ ЦЕНАМИ</t>
  </si>
  <si>
    <t>Карпова С.В., Русин В.Н., Рожков И.В. и др.</t>
  </si>
  <si>
    <t>Прикладной бакалавриат</t>
  </si>
  <si>
    <t>978-5-9558-0432-3</t>
  </si>
  <si>
    <t>38.03.01, 38.03.06, 38.03.02, 38.03.04</t>
  </si>
  <si>
    <t>Рекомендовано Учебно-методическим отделом высшего образования в качестве учебника для студентов высших учебных заведений, обучающихся по экономическим направлениям и специальностям</t>
  </si>
  <si>
    <t>657952.04.01</t>
  </si>
  <si>
    <t>Управление чел.ресурс.: теор.и практ.: Уч./А.С.Лифшиц-М.:ИЦ РИОР, НИЦ ИНФРА-М,2023-266с(ВО:Бакалавр)</t>
  </si>
  <si>
    <t>УПРАВЛЕНИЕ ЧЕЛОВЕЧЕСКИМИ РЕСУРСАМИ: ТЕОРИЯ И ПРАКТИКА</t>
  </si>
  <si>
    <t>Лифшиц А.С.</t>
  </si>
  <si>
    <t>978-5-369-01711-1</t>
  </si>
  <si>
    <t>678071.04.01</t>
  </si>
  <si>
    <t>Управление человеч. ресурсами: теория...: Моногр. / В.С.Гродский - М.:ИЦ РИОР,НИЦ ИНФРА-М,2024-278с(П)</t>
  </si>
  <si>
    <t>УПРАВЛЕНИЕ ЧЕЛОВЕЧЕСКИМИ РЕСУРСАМИ: ТЕОРИЯ, ПРАКТИКА, ЭФФЕКТИВНОСТЬ</t>
  </si>
  <si>
    <t>Гродский В.С.</t>
  </si>
  <si>
    <t>978-5-369-01754-8</t>
  </si>
  <si>
    <t>204900.04.01</t>
  </si>
  <si>
    <t>Управление человеческими ресурсами: Уч. / Б.М.Генкин - М.:Юр.Норма, НИЦ ИНФРА-М,2017. - 464 с.</t>
  </si>
  <si>
    <t>УПРАВЛЕНИЕ ЧЕЛОВЕЧЕСКИМИ РЕСУРСАМИ</t>
  </si>
  <si>
    <t>Генкин Б. М., Никитина И. А.</t>
  </si>
  <si>
    <t>978-5-91768-376-8</t>
  </si>
  <si>
    <t>Допущено Учебно-методическим объединением по образованию в области производственного менеджмента в качестве учебника для студентов, обучающихся по специальности 080502 «Экономика и управление на предприятии (по отраслям)» Допущено Учебно-методическим</t>
  </si>
  <si>
    <t>059100.16.01</t>
  </si>
  <si>
    <t>Управление человеческими ресурсами: Уч. / Л.В.Карташова -М.:НИЦ ИНФРА-М, 2023 -235с(Уч.для прогр.MBA)(П)</t>
  </si>
  <si>
    <t>Карташова Л.В.</t>
  </si>
  <si>
    <t>978-5-16-002196-6</t>
  </si>
  <si>
    <t>461050.03.01</t>
  </si>
  <si>
    <t>Управление человеческими ресурсами: Уч.пос. / В.И.Еремин - М.:НИЦ ИНФРА-М,2020 - 272 с.(ВО:Бакалавр.)(п)</t>
  </si>
  <si>
    <t>Еремин В.И., Шумаков Ю.Н., Жариков С.В. и др.</t>
  </si>
  <si>
    <t>978-5-16-009507-3</t>
  </si>
  <si>
    <t>Рекомендовано в качестве учебного пособия для студентов высших учебных заведений, обучающихся по направлениям подготовки 38.03.02 «Менеджмент», 41.03.06 «Публичная политика и социальные науки» (квалификация (степень) «бакалавр»)</t>
  </si>
  <si>
    <t>668757.03.01</t>
  </si>
  <si>
    <t>Управление человеческими ресурсами: Уч.пос. / И.Н.Ковалевич-М.:НИЦ ИНФРА-М, СФУ,2019-210с.(ВО))(П)</t>
  </si>
  <si>
    <t>Ковалевич И.Н., Ковалевич В.Т.</t>
  </si>
  <si>
    <t>Высшее образование: Магистратура (СФУ)</t>
  </si>
  <si>
    <t>978-5-16-013314-0</t>
  </si>
  <si>
    <t>Рекомендовано Сибирским региональным учебно-методическим центром высшего профессионального образования для межвузовского использования в качестве учебного пособия для студентов, обучающихся по направлению подготовки магистров 44.03.01 «Педагогическое образование»</t>
  </si>
  <si>
    <t>457400.04.01</t>
  </si>
  <si>
    <t>Управление эконом. системами: Моногр./Б.Н.Герасимов-М.:Вуз.уч.,НИЦ ИНФРА-М,2019-225с.(Науч.книга)(о)</t>
  </si>
  <si>
    <t>УПРАВЛЕНИЕ ЭКОНОМИЧЕСКИМИ СИСТЕМАМИ</t>
  </si>
  <si>
    <t>Герасимов Б.Н., Герасимов К.Б.</t>
  </si>
  <si>
    <t>978-5-9558-0477-4</t>
  </si>
  <si>
    <t>417200.07.01</t>
  </si>
  <si>
    <t>Управление эконом.безоп. ВУЗ: Уч./С.Д.Резник - 2 изд. - М.:НИЦ ИНФРА-М,2022 - 345 с.(Менедж.в высш.шк.)(П)</t>
  </si>
  <si>
    <t>УПРАВЛЕНИЕ ЭКОНОМИЧЕСКОЙ БЕЗОПАСНОСТЬЮ ВЫСШЕГО УЧЕБНОГО ЗАВЕДЕНИЯ, ИЗД.2</t>
  </si>
  <si>
    <t>978-5-16-005365-3</t>
  </si>
  <si>
    <t>739561.03.01</t>
  </si>
  <si>
    <t>Управление экономическими кризисами: Моногр./ М.А.Сажина - М.:НИЦ ИНФРА-М,2022 - 237 с.(Науч.мысль)(П)</t>
  </si>
  <si>
    <t>УПРАВЛЕНИЕ ЭКОНОМИЧЕСКИМИ КРИЗИСАМИ: ПРОБЛЕМЫ ТЕОРИИ И ПРАКТИКИ</t>
  </si>
  <si>
    <t>Сажина М.А.</t>
  </si>
  <si>
    <t>978-5-16-016354-3</t>
  </si>
  <si>
    <t>38.04.01, 38.04.08, 38.05.01, 38.06.01, 38.03.01</t>
  </si>
  <si>
    <t>447650.07.01</t>
  </si>
  <si>
    <t>Управление электрохозяйством: Уч.пос. / В.Я.Хорольский - М.:Форум, НИЦ ИНФРА-М,2022 - 256 с.(ВО)(О)</t>
  </si>
  <si>
    <t>УПРАВЛЕНИЕ ЭЛЕКТРОХОЗЯЙСТВОМ</t>
  </si>
  <si>
    <t>Хорольский В.Я., Таранов М.А.</t>
  </si>
  <si>
    <t>978-5-91134-792-5</t>
  </si>
  <si>
    <t>13.03.02, 35.03.06</t>
  </si>
  <si>
    <t>Допущено Министерством сельского хозяйства Российской Федерации в качестве учебного пособия для студентов высших учебных заведений, обучающихся по направлениям подготовки 140400.62 «Электроэнергетика и электротехника» и 110800.62 «Агроинженерия»</t>
  </si>
  <si>
    <t>Ставропольский государственный аграрный университет</t>
  </si>
  <si>
    <t>689280.05.01</t>
  </si>
  <si>
    <t>Управление электрохозяйством: Уч.пос. / В.Я.Хорольский - М.:Форум, НИЦ ИНФРА-М,2024 - 256 с.-(СПО)(П)</t>
  </si>
  <si>
    <t>978-5-00091-616-2</t>
  </si>
  <si>
    <t>13.02.01, 13.02.02, 13.02.03, 13.02.07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</si>
  <si>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13.02.07 «Электроснабжение (по отраслям)», 13.02.10 «Электрические машины и аппараты», 13.02.11 «Техническая эксплуатация и обслуживание электрического и электромеханического оборудования (по отраслям)»</t>
  </si>
  <si>
    <t>481600.04.01</t>
  </si>
  <si>
    <t>Управление эффект.утил.попутного нефтяного газа..:Моногр./Н.А.Алексеева-М.:НИЦ ИНФРА-М,2023-124с.(о)</t>
  </si>
  <si>
    <t>УПРАВЛЕНИЕ ЭФФЕКТИВНОСТЬЮ УТИЛИЗАЦИИ ПОПУТНОГО НЕФТЯНОГО ГАЗА МЕТОДОМ РЕАЛЬНЫХ ОПЦИОНОВ: ТЕОРИЯ, МЕТОДИКА, ЭФФЕКТИВНОСТЬ</t>
  </si>
  <si>
    <t>АлексееваН.А., ИбрагимоваА.В.</t>
  </si>
  <si>
    <t>978-5-16-011708-9</t>
  </si>
  <si>
    <t>02.04.03, 38.04.01, 38.04.02, 38.06.01</t>
  </si>
  <si>
    <t>209100.05.01</t>
  </si>
  <si>
    <t>Управление: динамические процессы и совр...: Моногр. / Ю.В.Гусаров - М.:ИНФРА-М, 2022- 252с.(Науч. мысль) (О)</t>
  </si>
  <si>
    <t>УПРАВЛЕНИЕ: ДИНАМИЧЕСКИЕ ПРОЦЕССЫ И СОВРЕМЕННЫЕ ПРИОРИТЕТЫ</t>
  </si>
  <si>
    <t>978-5-16-006818-3</t>
  </si>
  <si>
    <t>38.04.01, 38.04.02, 38.03.02, 44.03.05, 41.03.06</t>
  </si>
  <si>
    <t>060150.15.01</t>
  </si>
  <si>
    <t>Управленческая психология: Уч. / О.Д. Волкогонова - М.: ИД ФОРУМ:  НИЦ Инфра-М, 2023. - 352 с.(ПО)</t>
  </si>
  <si>
    <t>УПРАВЛЕНЧЕСКАЯ ПСИХОЛОГИЯ</t>
  </si>
  <si>
    <t>Волкогонова О. Д., Зуб А. Т.</t>
  </si>
  <si>
    <t>978-5-8199-0158-8</t>
  </si>
  <si>
    <t>Рекомендовано Министерством образования и науки РФ в качестве учебника для студентов учреждений среднего профессионального образования, обучающихся по группе специальностей "Экономика и управление"</t>
  </si>
  <si>
    <t>Московский государственный университет им. М.В. Ломоносова, философский факультет</t>
  </si>
  <si>
    <t>464800.05.01</t>
  </si>
  <si>
    <t>Управленческая экономика: Уч.пос. / А.С.Лифшиц - М.:ИЦ РИОР,НИЦ ИНФРА-М,2023-121с.(ВО:Магистр.)(о)</t>
  </si>
  <si>
    <t>УПРАВЛЕНЧЕСКАЯ ЭКОНОМИКА</t>
  </si>
  <si>
    <t>978-5-369-01508-7</t>
  </si>
  <si>
    <t>029337.18.01</t>
  </si>
  <si>
    <t>Управленческие решения: Уч. / Р.А. Фатхутдинов. - 6-e изд. - М.: ИНФРА-М, 2023. - 344 с. (П)</t>
  </si>
  <si>
    <t>УПРАВЛЕНЧЕСКИЕ РЕШЕНИЯ, ИЗД.6</t>
  </si>
  <si>
    <t>978-5-16-002416-5</t>
  </si>
  <si>
    <t>0605</t>
  </si>
  <si>
    <t>111500.10.01</t>
  </si>
  <si>
    <t>Управленческие решения: Уч. / Э.А.Смирнов - М.:ИЦ РИОР,НИЦ ИНФРА-М,2023-362 с.-(ВО)(п)</t>
  </si>
  <si>
    <t>УПРАВЛЕНЧЕСКИЕ РЕШЕНИЯ</t>
  </si>
  <si>
    <t>Смирнов Э. А.</t>
  </si>
  <si>
    <t>978-5-369-00521-7</t>
  </si>
  <si>
    <t>38.04.02, 38.04.03, 38.04.04, 38.04.05, 38.05.01, 38.03.05, 38.03.02, 38.03.04, 38.03.03, 44.03.05</t>
  </si>
  <si>
    <t>Рекомендовано Советом Учебно-методического объединения вузов России по образованию в области менеджмента в качестве учебника для студентов высших учебных заведений по специальности "Государственное и муниципальное управление"</t>
  </si>
  <si>
    <t>108430.07.01</t>
  </si>
  <si>
    <t>Управленческие решения: Уч.пос. / А.Л.Ломакин и др. - 2 изд. - М.:Форум,2022 - 176 с.(СПО)(О)</t>
  </si>
  <si>
    <t>УПРАВЛЕНЧЕСКИЕ РЕШЕНИЯ, ИЗД.2</t>
  </si>
  <si>
    <t>Ломакин А. Л., Буров В. П., Морошкин В. А.</t>
  </si>
  <si>
    <t>978-5-91134-345-3</t>
  </si>
  <si>
    <t>070160.06.01</t>
  </si>
  <si>
    <t>Управленческие решения: Уч.пос. / Е.И.Бражко - 2 изд. - М.:ИЦ РИОР,2020 - 126 с.-(О.к/ф)</t>
  </si>
  <si>
    <t>Бражко Е. И., Серебрякова Г. В., Смирнов Э. А.</t>
  </si>
  <si>
    <t>978-5-369-00266-7</t>
  </si>
  <si>
    <t>084170.04.01</t>
  </si>
  <si>
    <t>Управленческие решения: Шпаргалка - М.:ИЦ РИОР, НИЦ ИНФРА-М.-96с.-(Шпаргалка [отрывная])(О)</t>
  </si>
  <si>
    <t>978-5-369-00210-0</t>
  </si>
  <si>
    <t>38.04.02, 38.04.03, 38.04.04, 27.04.04, 27.03.04, 38.03.02, 38.03.04, 38.03.03, 41.03.06</t>
  </si>
  <si>
    <t>146900.07.01</t>
  </si>
  <si>
    <t>Управленческий анализ в различных отраслях: Уч.пос. / Н.А.Казакова-М.:НИЦ ИНФРА-М,2024.-288 с.(ВО)(П)</t>
  </si>
  <si>
    <t>УПРАВЛЕНЧЕСКИЙ АНАЛИЗ В РАЗЛИЧНЫХ ОТРАСЛЯХ</t>
  </si>
  <si>
    <t>Казакова Н.А.</t>
  </si>
  <si>
    <t>978-5-16-004612-9</t>
  </si>
  <si>
    <t>38.04.01, 38.04.08, 38.04.02, 38.04.04, 38.03.01, 38.03.05, 38.03.02, 38.03.04</t>
  </si>
  <si>
    <t>Рекомендовано УМО по образованию в обл. финансов, учета и мировой экономики в качестве уч. пособия для студентов вузов, обучающихся по спец. "Бухгалтерский учет, анализ и аудит", "Финансы и кредит", "Налоги и налогообложение"</t>
  </si>
  <si>
    <t>639546.07.01</t>
  </si>
  <si>
    <t>Управленческий консалтинг: Уч. / Ю.Н.Лапыгин - М.:НИЦ ИНФРА-М,2024 - 330 с.-(ВО)(П)</t>
  </si>
  <si>
    <t>УПРАВЛЕНЧЕСКИЙ КОНСАЛТИНГ</t>
  </si>
  <si>
    <t>978-5-16-018789-1</t>
  </si>
  <si>
    <t>38.04.04, 38.03.01, 38.03.02, 38.03.04, 38.03.03, 41.03.06</t>
  </si>
  <si>
    <t>Рекомендовано в качестве учебника для студентов высших учебных заведений, обучающихся по направлениям подготовки 38.03.02 «Менеджмент», 38.03.03 «Управление персоналом», 38.03.04 «Государственное и муниципальное управление» (квалификация (степень) «бакалавр»)</t>
  </si>
  <si>
    <t>231400.05.01</t>
  </si>
  <si>
    <t>Управленческий потенциал высших уч. заведений России  / С.Д.Резник - М.:НИЦ ИНФРА-М,2022 - 289 с.(О)</t>
  </si>
  <si>
    <t>УПРАВЛЕНЧЕСКИЙ ПОТЕНЦИАЛ ВЫСШИХ УЧЕБНЫХ ЗАВЕДЕНИЙ РОССИИ: ОЦЕНКА, ОПЫТ, ПЕРСПЕКТИВЫ</t>
  </si>
  <si>
    <t>Резник С. Д., Сазыкина О. А., Фомин Г. Б.</t>
  </si>
  <si>
    <t>978-5-16-009077-1</t>
  </si>
  <si>
    <t>339200.04.98</t>
  </si>
  <si>
    <t>Управленческое консультир.: Уч.пос. / О.Л.Чуланова,-2изд.-М.:НИЦ ИНФРА-М,2017-201с.(ВО:Магистр.)(п)</t>
  </si>
  <si>
    <t>УПРАВЛЕНЧЕСКОЕ КОНСУЛЬТИРОВАНИЕ, ИЗД.2</t>
  </si>
  <si>
    <t>978-5-16-010726-4</t>
  </si>
  <si>
    <t>38.04.03, 38.03.01, 38.03.02, 38.03.03, 41.03.06</t>
  </si>
  <si>
    <t>Рекомендовано в качестве учебного пособия для студентов высших учебных заведений, обучающихся по направлению подготовки 38.04.03 «Управление персоналом» (квалификация (степень) «магистр»)</t>
  </si>
  <si>
    <t>173150.11.01</t>
  </si>
  <si>
    <t>Управленческое консультирование: Уч.пос. / М.М.Соколова-М.:НИЦ ИНФРА-М,2024.-215 с.(ВО)(п)</t>
  </si>
  <si>
    <t>УПРАВЛЕНЧЕСКОЕ КОНСУЛЬТИРОВАНИЕ</t>
  </si>
  <si>
    <t>Соколова М.М.</t>
  </si>
  <si>
    <t>978-5-16-019021-1</t>
  </si>
  <si>
    <t>38.04.02, 38.04.04, 38.03.01, 38.03.02, 38.03.04, 38.03.03, 41.03.06</t>
  </si>
  <si>
    <t>339200.09.01</t>
  </si>
  <si>
    <t>Управленческое консультирование: Уч.пос. / О.Л.Чуланова - 3 изд. - М.:НИЦ ИНФРА-М,2023 -230с.(ВО)(П)</t>
  </si>
  <si>
    <t>УПРАВЛЕНЧЕСКОЕ КОНСУЛЬТИРОВАНИЕ, ИЗД.3</t>
  </si>
  <si>
    <t>978-5-16-013009-5</t>
  </si>
  <si>
    <t>138450.10.01</t>
  </si>
  <si>
    <t>Урегулирование конфликта интересов и противодейст.корруп..: Уч.пос./С.Ю.Кабашов-М.:ИНФРА-М,2024-192с</t>
  </si>
  <si>
    <t>УРЕГУЛИРОВАНИЕ КОНФЛИКТА ИНТЕРЕСОВ И ПРОТИВОДЕЙСТВИЕ КОРРУПЦИИ НА ГРАЖДАНСКОЙ И МУНИЦИПАЛЬНОЙ СЛУЖБЕ: ТЕОРИЯ И ПРАКТИКА</t>
  </si>
  <si>
    <t>978-5-16-004278-7</t>
  </si>
  <si>
    <t>38.04.02, 38.04.04, 38.03.02, 38.03.04</t>
  </si>
  <si>
    <t>Допущено Советом Учебно-методического объединения по образованию в области менеджмента в качестве учебного пособия по дисциплине региональной составляющей специальности "Государственное и муниципальное управление"</t>
  </si>
  <si>
    <t>795989.01.01</t>
  </si>
  <si>
    <t>Успешность, работа и старение: Моногр. / Под ред. Дураковой И.Б.-М.:НИЦ ИНФРА-М,2023.-187 с.(Науч.мысль)(п)</t>
  </si>
  <si>
    <t>УСПЕШНОСТЬ, РАБОТА И СТАРЕНИЕ: ФУНДАМЕНТАЛЬНЫЕ, ПРИКЛАДНЫЕ И НАУЧНО-ПОПУЛЯРНЫЕ АСПЕКТЫ ПРОФЕССИОНАЛЬНОГО ДОЛГОЛЕТИЯ</t>
  </si>
  <si>
    <t>Дуракова И.Б., Рахманова Т.И., Матасова Л.В. и др.</t>
  </si>
  <si>
    <t>978-5-16-018134-9</t>
  </si>
  <si>
    <t>403450.04.01</t>
  </si>
  <si>
    <t>Устойчивое развитие туристских дестинаций в горной и предгорной зоне Северного Кавказа: монография / К.К.Кулян-М.:НИЦ ИНФРА-М,2019.-143 с..-(Научная м</t>
  </si>
  <si>
    <t>УСТОЙЧИВОЕ РАЗВИТИЕ ТУРИСТСКИХ ДЕСТИНАЦИЙ В ГОРНОЙ И ПРЕДГОРНОЙ ЗОНЕ СЕВЕРНОГО КАВКАЗА</t>
  </si>
  <si>
    <t>Кулян К. К., Кулян М. К.</t>
  </si>
  <si>
    <t>978-5-16-006020-0</t>
  </si>
  <si>
    <t>181250.03.01</t>
  </si>
  <si>
    <t>Учетно-аналитическое сопровожд. менедж..: Моногр. /Е.А.Иванов -М:НИЦ ИНФРА-М, 2017-138с(Науч.мысль)(о)</t>
  </si>
  <si>
    <t>УЧЕТНО-АНАЛИТИЧЕСКОЕ СОПРОВОЖДЕНИЕ МЕНЕДЖМЕНТА МНОГОСЕГМЕНТНЫХ ОРГАНИЗАЦИЙ</t>
  </si>
  <si>
    <t>Иванов Е.А.</t>
  </si>
  <si>
    <t>978-5-16-005465-0</t>
  </si>
  <si>
    <t>Чувашский государственный аграрный университет</t>
  </si>
  <si>
    <t>426400.08.01</t>
  </si>
  <si>
    <t>Философия управления: Уч. пос. / В.К. Батурин. - М.: Вуз уч. М.: НИЦ ИНФРА-М, 2024. - 160 с. (о)</t>
  </si>
  <si>
    <t>ФИЛОСОФИЯ УПРАВЛЕНИЯ</t>
  </si>
  <si>
    <t>Батурин В. К.</t>
  </si>
  <si>
    <t>978-5-9558-0271-8</t>
  </si>
  <si>
    <t>47.03.01, 47.04.01, 38.03.01, 38.03.04</t>
  </si>
  <si>
    <t>Российская академия народного хозяйства и государственной службы при Президенте РФ, ф-л Дальневосточный институт управления</t>
  </si>
  <si>
    <t>430450.06.01</t>
  </si>
  <si>
    <t>Финансирование инноваций: Уч. пос./Т.Ю.Трифоненкова - М.: НИЦ ИНФРА-М, 2023-141с.(ВО: Бакалавриат) (о)</t>
  </si>
  <si>
    <t>ФИНАНСИРОВАНИЕ ИННОВАЦИЙ</t>
  </si>
  <si>
    <t>Трифоненкова Т. Ю.</t>
  </si>
  <si>
    <t>978-5-16-006652-3</t>
  </si>
  <si>
    <t>27.03.05, 27.04.07, 38.04.01, 38.04.08, 38.04.02, 22.04.02, 27.04.05, 38.03.01, 38.03.02, 44.03.01, 41.03.06</t>
  </si>
  <si>
    <t>142800.11.01</t>
  </si>
  <si>
    <t>Финансовая среда предпринимательства ...: Уч. / Н.А.Казакова, - 2 изд.-М.:НИЦ ИНФРА-М,2024.-258 с.(ВО)(п)</t>
  </si>
  <si>
    <t>ФИНАНСОВАЯ СРЕДА ПРЕДПРИНИМАТЕЛЬСТВА И ПРЕДПРИНИМАТЕЛЬСКИЕ РИСКИ</t>
  </si>
  <si>
    <t>978-5-16-018380-0</t>
  </si>
  <si>
    <t>38.04.01, 38.04.08, 38.04.06, 38.04.02, 38.05.01, 38.03.01, 38.03.02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</si>
  <si>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направлениям подготовки «Экономика» и «Менеджмент»</t>
  </si>
  <si>
    <t>257200.07.01</t>
  </si>
  <si>
    <t>Финансовая среда предпринимательства: Уч. пос. / В.Ю. Сутягин - М.: ИНФРА-М, 2023. - 269 с. (ВО)</t>
  </si>
  <si>
    <t>ФИНАНСОВАЯ СРЕДА ПРЕДПРИНИМАТЕЛЬСТВА</t>
  </si>
  <si>
    <t>Сутягин В. Ю., Беспалов М. В., Черкашнев Р. Ю.</t>
  </si>
  <si>
    <t>978-5-16-009470-0</t>
  </si>
  <si>
    <t>38.04.08, 38.03.01, 38.03.02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</si>
  <si>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</t>
  </si>
  <si>
    <t>256600.06.01</t>
  </si>
  <si>
    <t>Финансовое управление реальными инвестиц. организ.:Уч. пос./М.В.Чараева - Альфа-М: ИНФРА-М,2023-240с (п)</t>
  </si>
  <si>
    <t>ФИНАНСОВОЕ УПРАВЛЕНИЕ РЕАЛЬНЫМИ ИНВЕСТИЦИЯМИ ОРГАНИЗАЦИЙ</t>
  </si>
  <si>
    <t>Чараева М. В.</t>
  </si>
  <si>
    <t>978-5-98281-382-4</t>
  </si>
  <si>
    <t>38.00.00, 25.04.04</t>
  </si>
  <si>
    <t>638285.02.01</t>
  </si>
  <si>
    <t>Финансовые отношения малых орг. энерг. компл.: Моногр. / Н.И.Морозко-М.:НИЦ ИНФРА-М,2020-151с.(О)</t>
  </si>
  <si>
    <t>ФИНАНСОВЫЕ ОТНОШЕНИЯ МАЛЫХ ОРГАНИЗАЦИЙ ЭНЕРГЕТИЧЕСКОГО КОМПЛЕКСА</t>
  </si>
  <si>
    <t>Морозко Н.И., Диденко В.Ю.</t>
  </si>
  <si>
    <t>978-5-16-012228-1</t>
  </si>
  <si>
    <t>38.04.01, 38.03.01, 38.03.02</t>
  </si>
  <si>
    <t>281400.08.01</t>
  </si>
  <si>
    <t>Финансовый анализ. Управление финанс. операциями: Уч.пос. / Е.Б.Герасимова - М.:Форум:ИНФРА-М,2022 - 192 с(О)</t>
  </si>
  <si>
    <t>ФИНАНСОВЫЙ АНАЛИЗ. УПРАВЛЕНИЕ ФИНАНСОВЫМИ ОПЕРАЦИЯМИ</t>
  </si>
  <si>
    <t>Герасимова Е.Б., Редин Д.В.</t>
  </si>
  <si>
    <t>978-5-91134-890-8</t>
  </si>
  <si>
    <t>Рекомендовано Институтом экономики и управления Московского государственного машиностроительного университета (МАМИ) в качестве учебного пособия для студентов и бакалавров высших учебных заведений, обучающихся по направлениям «Экономика» и «Менеджмен</t>
  </si>
  <si>
    <t>646303.08.01</t>
  </si>
  <si>
    <t>Финансовый менеджмент в малом бизнесе: Уч. / Н.И.Морозко - 2 изд.-М.:НИЦ ИНФРА-М,2023.-348 с.(ВО)(П)</t>
  </si>
  <si>
    <t>ФИНАНСОВЫЙ МЕНЕДЖМЕНТ В МАЛОМ БИЗНЕСЕ, ИЗД.2</t>
  </si>
  <si>
    <t>Морозко Н.И., Морозко Н.И., Диденко В.Ю.</t>
  </si>
  <si>
    <t>978-5-16-017587-4</t>
  </si>
  <si>
    <t>38.04.09, 38.04.08, 38.04.02, 38.05.01, 38.03.01, 38.03.06, 38.03.07, 38.03.02, 38.03.04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</si>
  <si>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2 от 09.02.2022)</t>
  </si>
  <si>
    <t>646303.04.01</t>
  </si>
  <si>
    <t>Финансовый менеджмент в малом бизнесе: Уч. / Н.И.Морозко-М.:НИЦ ИНФРА-М,2019-347с(ВО: Бакалавр.)(П)</t>
  </si>
  <si>
    <t>ФИНАНСОВЫЙ МЕНЕДЖМЕНТ В МАЛОМ БИЗНЕСЕ</t>
  </si>
  <si>
    <t>978-5-16-013341-6</t>
  </si>
  <si>
    <t>Рекомендовано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</si>
  <si>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262000.03.01</t>
  </si>
  <si>
    <t>Финансовый менеджмент. углубл. ур: Уч. / П.Н.Тесля-М.:ИЦ РИОР, НИЦ ИНФРА-М,2023.-217 с.(ВО)(О)</t>
  </si>
  <si>
    <t>ФИНАНСОВЫЙ МЕНЕДЖМЕНТ</t>
  </si>
  <si>
    <t>Тесля П.Н.</t>
  </si>
  <si>
    <t>978-5-369-01562-9</t>
  </si>
  <si>
    <t>405600.05.01</t>
  </si>
  <si>
    <t>Финансовый менеджмент: Уч. / А.И.Самылин-М.:НИЦ ИНФРА-М,2019.-413 с..-(ВО: Бакалавриат)(П)</t>
  </si>
  <si>
    <t>978-5-16-005247-2</t>
  </si>
  <si>
    <t>Рекомендовано ФГБОУ ВПО «Государственный университет управления» в качестве учебника для студентов высших учебных заведений, обучающихся по направлению 38.04.01 «Экономика» (квалификация (степень) — «магистр») Регистрационный номер рецензии 1812 от 12.05.2012 (МГУП)</t>
  </si>
  <si>
    <t>202200.06.01</t>
  </si>
  <si>
    <t>Финансовый менеджмент: Уч. / А.Н. Трошин - М.: НИЦ Инфра-М, 2022 - 331 с.(ВО: Бакалавр.) (п)</t>
  </si>
  <si>
    <t>Трошин А. Н.</t>
  </si>
  <si>
    <t>978-5-16-005734-7</t>
  </si>
  <si>
    <t>Рекомендовано ФГБОУ ВПО Государственным университетом управления к использованию в образовательных учреждениях в качестве учебника для бакалавров по направлению «Менеджмент»</t>
  </si>
  <si>
    <t>203700.08.01</t>
  </si>
  <si>
    <t>Финансовый менеджмент: Уч. / Е.В.Лисицына- 2 изд.-М.:НИЦ ИНФРА-М,2023.-185 с.(ВО: Бакалавриат)(П)</t>
  </si>
  <si>
    <t>ФИНАНСОВЫЙ МЕНЕДЖМЕНТ, ИЗД.2</t>
  </si>
  <si>
    <t>Лисицына Е.В., Ващенко Т.В., Забродина М.В. и др.</t>
  </si>
  <si>
    <t>978-5-16-017661-1</t>
  </si>
  <si>
    <t>Рекомендовано советом Учебно-методического объединения вузов по образованию в области менеджмента в качестве учебника для студентов высших учебных заведений, обучающихся по направлению 38.03.02 «Менеджмент» (квалификация (степень) «бакалавр»)</t>
  </si>
  <si>
    <t>Московский городской университет управления Правительства Москвы</t>
  </si>
  <si>
    <t>036100.17.01</t>
  </si>
  <si>
    <t>Финансовый менеджмент: Уч. / Л.Е.Басовский-М.:НИЦ ИНФРА-М,2023.-240 с.(ВО: Бакалавриат)(п)</t>
  </si>
  <si>
    <t>978-5-16-006960-9</t>
  </si>
  <si>
    <t>38.02.07, 38.02.01, 38.02.03, 38.04.09, 38.04.07, 25.04.04, 38.04.01, 38.04.08, 38.04.06, 38.04.02, 38.04.03, 38.04.04, 38.04.05, 38.05.01, 23.03.01, 38.03.01, 38.03.05, 38.03.06, 38.03.07, 38.03.02, 38.03.04, 38.03.03, 44.03.01, 44.03.05, 41.03.06</t>
  </si>
  <si>
    <t>0102</t>
  </si>
  <si>
    <t>203700.07.01</t>
  </si>
  <si>
    <t>Финансовый менеджмент: Уч. / Под ред. Екимовой К.В. - М.:НИЦ ИНФРА-М,2021-184с.-(ВО: Бакалавриат)(П)</t>
  </si>
  <si>
    <t>Лисицына Е. В., Ващенко Т. В., Забродина М. В., Екимова К. В.</t>
  </si>
  <si>
    <t>978-5-16-006620-2</t>
  </si>
  <si>
    <t>376800.04.01</t>
  </si>
  <si>
    <t>Финансовый менеджмент: Уч. / С.А.Сироткин - М.:НИЦ ИНФРА-М,2023 - 294с.(ВО:Бакалавр.)(п)</t>
  </si>
  <si>
    <t>СироткинС.А., КельчевскаяН.Р.</t>
  </si>
  <si>
    <t>978-5-16-011106-3</t>
  </si>
  <si>
    <t>25.04.04, 38.03.02, 41.03.06</t>
  </si>
  <si>
    <t>054800.13.01</t>
  </si>
  <si>
    <t>Финансовый менеджмент: Уч. пос. / М.В.Кудина - 2 изд. - М.: ИД ФОРУМ: НИЦ Инфра-М, 2024 - 256с. (ВО) (п)</t>
  </si>
  <si>
    <t>Кудина М. В.</t>
  </si>
  <si>
    <t>978-5-8199-0505-0</t>
  </si>
  <si>
    <t>Рекомендовано Ученым советом факультета государственного управления МГУ имени М. В. Ломоносова в качестве учебного пособия для студентов высших учебных заведений, обучающихся по группе специальностей экономического профиля</t>
  </si>
  <si>
    <t>426450.07.01</t>
  </si>
  <si>
    <t>Финансовый менеджмент: Уч. пос. / Н.И. Морозко - М.: НИЦ ИНФРА-М, 2023-224с.(ВО: Бакалавр.) (п)</t>
  </si>
  <si>
    <t>Морозко Н. И., Диденко И. Ю.</t>
  </si>
  <si>
    <t>978-5-16-005786-6</t>
  </si>
  <si>
    <t>38.04.01, 38.04.08, 38.04.02, 38.04.04, 38.03.01, 38.03.02, 41.03.06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</si>
  <si>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направлениям подготовки 080200.62 «Менеджмент», 080100.62 «Экономика» (квалификация</t>
  </si>
  <si>
    <t>347600.04.01</t>
  </si>
  <si>
    <t>Финансовый менеджмент: Уч. пос. /М.В. Чараева, -2 изд. -М.: НИЦ ИНФРА-М, 2023 -240 с. (ВО:Бакалавр.) (п)</t>
  </si>
  <si>
    <t>978-5-16-010828-5</t>
  </si>
  <si>
    <t>Рекомендовано в качестве учебного пособия для студентов высших учебных заведений, обучающихся по направлению подготовки 38.03.01 «Экономика», 38.03.02 «Менеджмент», 41.03.06 «Публичная политика и социальные науки»</t>
  </si>
  <si>
    <t>170200.06.01</t>
  </si>
  <si>
    <t>Финансовый менеджмент: Уч.пос. / Д.В.Лысенко-М.:НИЦ ИНФРА-М,2019.-372 с..-(ВО)(П+CD)</t>
  </si>
  <si>
    <t>Лысенко Д. В.</t>
  </si>
  <si>
    <t>978-5-16-003985-5</t>
  </si>
  <si>
    <t>064860.08.01</t>
  </si>
  <si>
    <t>Финансовый менеджмент: Уч.пос. / Л.Е.Басовский - М.:ИЦ РИОР,ИНФРА-М,2023-88 с.-(Карман. уч.пос.)(О)</t>
  </si>
  <si>
    <t>978-5-369-00676-4</t>
  </si>
  <si>
    <t>38.04.09, 25.04.03, 25.04.04, 38.04.01, 38.04.08, 38.04.06, 38.04.02, 38.04.03, 38.04.04, 38.04.05, 38.03.01, 38.03.05, 38.03.06, 38.03.02, 38.03.04, 38.03.03, 44.03.05, 41.03.06</t>
  </si>
  <si>
    <t>640488.03.01</t>
  </si>
  <si>
    <t>Финансовый менеджмент: Уч.пос. / П.А.Левчаев-М.:НИЦ ИНФРА-М,2023.-247 с.(ВО: Магистр.)(п)</t>
  </si>
  <si>
    <t>Левчаев П.А.</t>
  </si>
  <si>
    <t>978-5-16-012755-2</t>
  </si>
  <si>
    <t>38.04.09, 38.04.07, 38.04.01, 38.04.08, 38.04.06, 38.04.02, 38.05.01, 38.03.01, 38.03.06, 38.03.07</t>
  </si>
  <si>
    <t>118400.10.01</t>
  </si>
  <si>
    <t>Финансовый менеджмент: Уч.пос. / Т.В.Филатова - М.:НИЦ ИНФРА-М,2024-236с.(ВО: Бакалавр.)(П)</t>
  </si>
  <si>
    <t>Филатова Т. В.</t>
  </si>
  <si>
    <t>978-5-16-012500-8</t>
  </si>
  <si>
    <t>Рекомендовано УМО по образованию в области финансов, учета и мировой экономики в качестве учебного пособия для студентов вузов, обучающихся по направлению подготовки 38.03.01 "Экономика"</t>
  </si>
  <si>
    <t>640459.04.01</t>
  </si>
  <si>
    <t>Финансы организаций: Уч. / П.А.Левчаев - 2 изд. - М.:НИЦ ИНФРА - М,2021-386 с.-(ВО: Бакалавриат)(П)</t>
  </si>
  <si>
    <t>ФИНАНСЫ ОРГАНИЗАЦИЙ, ИЗД.2</t>
  </si>
  <si>
    <t>978-5-16-011342-5</t>
  </si>
  <si>
    <t>38.02.06, 38.04.01, 38.04.02, 38.03.01, 38.03.02, 38.03.04, 41.03.06</t>
  </si>
  <si>
    <t>Рекомендовано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</t>
  </si>
  <si>
    <t>470850.03.01</t>
  </si>
  <si>
    <t>Формирование и развитие упр. потенциала общ. орг.: Моногр. / С.Д.Резник-М.:НИЦ ИНФРА-М,2019-164с.(О)</t>
  </si>
  <si>
    <t>ФОРМИРОВАНИЕ И РАЗВИТИЕ УПРАВЛЕНЧЕСКОГО ПОТЕНЦИАЛА ОБЩЕОБРАЗОВАТЕЛЬНОЙ ОРГАНИЗАЦИИ</t>
  </si>
  <si>
    <t>Резник С.Д., Емельянова Е.Р., Рыбалкина З.М.</t>
  </si>
  <si>
    <t>978-5-16-010031-9</t>
  </si>
  <si>
    <t>38.04.02, 44.03.05</t>
  </si>
  <si>
    <t>761200.01.01</t>
  </si>
  <si>
    <t>Формирование корпоратив. механизма управ...: Моногр. / Г.С.Клычова - 2 изд.-М.:ИЦ РИОР, НИЦ ИНФРА-М,2021.-171 с.(О)</t>
  </si>
  <si>
    <t>ФОРМИРОВАНИЕ КОРПОРАТИВНОГО МЕХАНИЗМА УПРАВЛЕНИЯ СОЦИАЛЬНО-ЭКОНОМИЧЕСКИМ РАЗВИТИЕМ ПРЕДПРИЯТИЙ АГРАРНОГО СЕКТОРА ЭКОНОМИКИ, ИЗД.2</t>
  </si>
  <si>
    <t>978-5-369-01876-7</t>
  </si>
  <si>
    <t>38.04.02, 35.06.01, 38.06.01, 35.03.04</t>
  </si>
  <si>
    <t>451950.04.01</t>
  </si>
  <si>
    <t>Формирование механизма гос.регулир.в сфере...: Моногр. / С.М.Цыганкова-М.:НИЦ ИНФРА-М,2019-156с.(О)</t>
  </si>
  <si>
    <t>ФОРМИРОВАНИЕ МЕХАНИЗМА ГОСУДАРСТВЕННОГО РЕГУЛИРОВАНИЯ В СФЕРЕ ЗДРАВООХРАНЕНИЯ</t>
  </si>
  <si>
    <t>Цыганкова С.М., Левкевич М.М.</t>
  </si>
  <si>
    <t>978-5-16-009223-2</t>
  </si>
  <si>
    <t>670466.03.01</t>
  </si>
  <si>
    <t>Формирование механизма упр. территор. разв.:Моногр./ З.А.Васильева-М.:НИЦ ИНФРА-М, СФУ,2024-175с(П)</t>
  </si>
  <si>
    <t>ФОРМИРОВАНИЕ МЕХАНИЗМА УПРАВЛЕНИЯ ТЕРРИТОРИАЛЬНЫМ РАЗВИТИЕМ</t>
  </si>
  <si>
    <t>Васильева З.А., Лихачев М.А., Москвина А.В. и др.</t>
  </si>
  <si>
    <t>978-5-16-019288-8</t>
  </si>
  <si>
    <t>00.05.13, 00.03.13, 38.04.01, 38.03.01</t>
  </si>
  <si>
    <t>346300.06.01</t>
  </si>
  <si>
    <t>Формирование организац.стратегии управл. кадр.потенциалом /Н.М.Кузьмина-НИЦ ИНФРА-М,2023-94с.(НМ)(О)</t>
  </si>
  <si>
    <t>ФОРМИРОВАНИЕ ОРГАНИЗАЦИОННОЙ СТРАТЕГИИ УПРАВЛЕНИЯ КАДРОВЫМ ПОТЕНЦИАЛОМ: КОМПЕТЕНТНОСТНЫЙ ПОДХОД</t>
  </si>
  <si>
    <t>Н.М.Кузьмина, О.В.Толстякова</t>
  </si>
  <si>
    <t>978-5-16-010815-5</t>
  </si>
  <si>
    <t>38.04.01, 38.04.02, 38.04.03, 38.04.04, 38.06.01, 38.03.01, 38.03.02, 38.03.04, 38.03.03, 44.03.01</t>
  </si>
  <si>
    <t>399500.04.01</t>
  </si>
  <si>
    <t>Формирование регион.логист.объед.на основе ресурс.:Моногр./О.В.Рыкалина-М.:НИЦ ИНФРА-М,2024-244с.(о)</t>
  </si>
  <si>
    <t>ФОРМИРОВАНИЕ РЕГИОНАЛЬНЫХ ЛОГИСТИЧЕСКИХ ОБЪЕДИНЕНИЙ НА ОСНОВЕ РЕСУРСНЫХ ПОТЕНЦИАЛОВ ОКРУГОВ РОССИЙСКОЙ ФЕДЕРАЦИИ</t>
  </si>
  <si>
    <t>978-5-16-011281-7</t>
  </si>
  <si>
    <t>15.04.04, 29.04.02, 23.03.01, 38.03.01, 42.03.03</t>
  </si>
  <si>
    <t>338800.05.01</t>
  </si>
  <si>
    <t>Формирование, развитие и коучинг эмоциональной...: Моногр./ О.Л.Чуланова-М.:НИЦ ИНФРА-М,2023-217с(о)</t>
  </si>
  <si>
    <t>ФОРМИРОВАНИЕ, РАЗВИТИЕ И КОУЧИНГ ЭМОЦИОНАЛЬНОЙ КОМПЕТЕНТНОСТИ В УПРАВЛЕНИИ ПЕРСОНАЛОМ ОРГАНИЗАЦИИ</t>
  </si>
  <si>
    <t>978-5-16-018030-4</t>
  </si>
  <si>
    <t>38.04.03, 23.03.01, 38.03.01, 38.03.04, 38.03.03, 44.03.01, 41.03.06</t>
  </si>
  <si>
    <t>799664.01.01</t>
  </si>
  <si>
    <t>Формирование.информ.-аналит.обеспеч.стратег.управ.фин.эконом... / В.В.Башкатов.-М.:НИЦ ИНФРА-М,2023.-215 с.(о)</t>
  </si>
  <si>
    <t>ФОРМИРОВАНИЕ ИНФОРМАЦИОННО-АНАЛИТИЧЕСКОГО ОБЕСПЕЧЕНИЯ СТРАТЕГИЧЕСКОГО УПРАВЛЕНИЯ ФИНАНСАМИ ЭКОНОМИЧЕСКОГО СУБЪЕКТА</t>
  </si>
  <si>
    <t>Башкатов В.В., Миронов О.А., Миронова А.С.</t>
  </si>
  <si>
    <t>978-5-16-018369-5</t>
  </si>
  <si>
    <t>38.04.01, 38.04.08, 38.04.02, 38.06.01</t>
  </si>
  <si>
    <t>159450.04.01</t>
  </si>
  <si>
    <t>Ценностные индикаторы личности..: Моногр./Э.В.Бушкова-Шиклина-М.:НИЦ ИНФРА-М,2020-228с(Науч.мысль)(о)</t>
  </si>
  <si>
    <t>ЦЕННОСТНЫЕ ИНДИКАТОРЫ ЛИЧНОСТИ И ДЕЯТЕЛЬНОСТИ РУКОВОДИТЕЛЯ: ВОЗМОЖНОСТИ СОЦИОЛОГИЧЕСКОГО АНАЛИЗА</t>
  </si>
  <si>
    <t>Бушкова-Шиклина Э. В.</t>
  </si>
  <si>
    <t>978-5-16-009757-2</t>
  </si>
  <si>
    <t>39.04.01, 39.03.01, 44.03.01</t>
  </si>
  <si>
    <t>408550.05.01</t>
  </si>
  <si>
    <t>Цепочка создания стоимости продукта: Моногр. / Т.В.Андреева-М.:ИЦ РИОР, НИЦ ИНФРА-М,2024.-170 с.(О)</t>
  </si>
  <si>
    <t>ЦЕПОЧКА СОЗДАНИЯ СТОИМОСТИ ПРОДУКТА: ФОРМИРОВАНИЕ И ОЦЕНКА  ЭФФЕКТИВНОСТИ</t>
  </si>
  <si>
    <t>Андреева Т.В.</t>
  </si>
  <si>
    <t>978-5-369-01147-8</t>
  </si>
  <si>
    <t>Оренбургский государственный университет, ф-л Орский гуманитарно-технологический институт</t>
  </si>
  <si>
    <t>673203.02.01</t>
  </si>
  <si>
    <t>Цифровая экономика: Упр.электр.бизнесом и электр. коммер.й:Уч. /Л.В.Лапидус-М.:НИЦ ИНФРА-М,2018-479с</t>
  </si>
  <si>
    <t>ЦИФРОВАЯ ЭКОНОМИКА: УПРАВЛЕНИЕ ЭЛЕКТРОННЫМ БИЗНЕСОМ И ЭЛЕКТРОННОЙ КОММЕРЦИЕЙ</t>
  </si>
  <si>
    <t>Лапидус Л.В.</t>
  </si>
  <si>
    <t>978-5-16-013640-0</t>
  </si>
  <si>
    <t>Рекомендовано Учебно-методическим советом ВО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</si>
  <si>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720803.01.01</t>
  </si>
  <si>
    <t>Цифровое развит. экономики и прикладная информ... / Под ред. Кожевина О.В.-М.:НИЦ ИНФРА-М,2023.-171с(О)</t>
  </si>
  <si>
    <t>ЦИФРОВОЕ РАЗВИТИЕ ЭКОНОМИКИ И ПРИКЛАДНАЯ ИНФОРМАТИКА В УПРАВЛЕНИИ ТЕРРИТОРИЯМИ: ОПЫТ РОССИИ И КАЗАХСТАНА</t>
  </si>
  <si>
    <t>Бейсембай Е., Вдовкина Е.Г., Егорова М.А. и др.</t>
  </si>
  <si>
    <t>978-5-16-017984-1</t>
  </si>
  <si>
    <t>800971.02.01</t>
  </si>
  <si>
    <t>Цифровые платформы и экосистемы в гос. управ. / Под ред. Васильевой Е.В.-М.:НИЦ ИНФРА-М,2024.-204 с.(п)</t>
  </si>
  <si>
    <t>ЦИФРОВЫЕ ПЛАТФОРМЫ И ЭКОСИСТЕМЫ В ГОСУДАРСТВЕННОМ УПРАВЛЕНИИ</t>
  </si>
  <si>
    <t>Васильева Е.В., Громова А.А., Зараменских Е.П. и др.</t>
  </si>
  <si>
    <t>978-5-16-018537-8</t>
  </si>
  <si>
    <t>40.05.04, 09.03.02, 38.04.09, 40.04.01, 38.04.02, 38.04.03, 38.04.04, 09.04.02, 40.05.01, 40.05.02, 38.05.01, 38.06.01, 40.06.01, 38.03.04, 41.03.06</t>
  </si>
  <si>
    <t>747340.03.01</t>
  </si>
  <si>
    <t>Цифровые трудовые платформы: новые формы орг...: Моногр. / Е.А.Савельева-М.:НИЦ ИНФРА-М,2023.-213 с.(О)</t>
  </si>
  <si>
    <t>ЦИФРОВЫЕ ТРУДОВЫЕ ПЛАТФОРМЫ: НОВЫЕ ФОРМЫ ОРГАНИЗАЦИИ И РЕГУЛИРОВАНИЯ ТРУДА</t>
  </si>
  <si>
    <t>978-5-16-017186-9</t>
  </si>
  <si>
    <t>431300.05.01</t>
  </si>
  <si>
    <t>Человек и его потребности: Уч. пос. / Б.М. Генкин. - М.: Норма:  НИЦ ИНФРА-М, 2023. - 256 с. (п)</t>
  </si>
  <si>
    <t>ЧЕЛОВЕК И ЕГО ПОТРЕБНОСТИ</t>
  </si>
  <si>
    <t>978-5-91768-348-5</t>
  </si>
  <si>
    <t>43.03.01, 43.03.02, 43.03.03, 38.04.02, 38.04.03, 43.04.01, 43.04.02, 43.04.03, 38.03.02, 38.03.03, 41.03.06</t>
  </si>
  <si>
    <t>467850.05.01</t>
  </si>
  <si>
    <t>Человеческие ресурсы российских бизнес-организ...: Моногр. / А.Г.Эфендиев - М:ИНФРА-М,2022 - 192 с. (п)</t>
  </si>
  <si>
    <t>ЧЕЛОВЕЧЕСКИЕ РЕСУРСЫ РОССИЙСКИХ БИЗНЕС-ОРГАНИЗАЦИЙ: ПРОБЛЕМЫ ФОРМИРОВАНИЯ И УПРАВЛЕНИЯ</t>
  </si>
  <si>
    <t>Эфендиев А. Г., Балабанова Е. С., Ребров А. В.</t>
  </si>
  <si>
    <t>978-5-16-009876-0</t>
  </si>
  <si>
    <t>465450.07.01</t>
  </si>
  <si>
    <t>Человеческий капитал: теория и практика управ...: Моногр./Р.М.Нижегородцев - М:ИНФРА-М,2023-290с(О)</t>
  </si>
  <si>
    <t>ЧЕЛОВЕЧЕСКИЙ КАПИТАЛ: ТЕОРИЯ И ПРАКТИКА УПРАВЛЕНИЯ В СОЦИАЛЬНО-ЭКОНОМИЧЕСКИХ СИСТЕМАХ</t>
  </si>
  <si>
    <t>Нижегородцев Р. М., Нижегородцев Р. М., Резник С. Д.</t>
  </si>
  <si>
    <t>978-5-16-009681-0</t>
  </si>
  <si>
    <t>201800.08.01</t>
  </si>
  <si>
    <t>Экономика и орг. производства: Уч.пос. / Под ред. Трещевского Ю.И.-М.:НИЦ ИНФРА-М,2023.-381 с.(ВО)(П)</t>
  </si>
  <si>
    <t>ЭКОНОМИКА И ОРГАНИЗАЦИЯ ПРОИЗВОДСТВА</t>
  </si>
  <si>
    <t>Вертакова Ю.В., Трещевский Ю.И., Франовская Г.Н. и др.</t>
  </si>
  <si>
    <t>978-5-16-006517-5</t>
  </si>
  <si>
    <t>21.02.12, 38.03.01, 38.03.05, 38.03.06, 38.03.07, 38.03.02, 38.03.04, 38.03.03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</si>
  <si>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</t>
  </si>
  <si>
    <t>400800.06.01</t>
  </si>
  <si>
    <t>Экономика и организация управл. рознич. торг..: Практ./В.П.Чеглов - М: Вуз. учеб.:Инфра-М, 2023-224с (п)</t>
  </si>
  <si>
    <t>ЭКОНОМИКА И ОРГАНИЗАЦИЯ УПРАВЛЕНИЯ РОЗНИЧНЫМИ ТОРГОВЫМИ СЕТЯМИ</t>
  </si>
  <si>
    <t>Чеглов В. П.</t>
  </si>
  <si>
    <t>978-5-9558-0274-9</t>
  </si>
  <si>
    <t>753523.01.01</t>
  </si>
  <si>
    <t>Экономика и управление инновациями: Уч. / Э.А.Козловская-3 изд.-М.:НИЦ ИНФРА-М,2023.-376 с.(ВО)(п)</t>
  </si>
  <si>
    <t>ЭКОНОМИКА И УПРАВЛЕНИЕ ИННОВАЦИЯМИ, ИЗД.3</t>
  </si>
  <si>
    <t>Козловская Э.А., Яковлева Е.А., Бучаев Я.Г. и др.</t>
  </si>
  <si>
    <t>978-5-16-017367-2</t>
  </si>
  <si>
    <t>00.03.13, 38.03.01</t>
  </si>
  <si>
    <t>216500.09.01</t>
  </si>
  <si>
    <t>Экономика и управление чел. ресурсами: Уч.пос. / А.М.Асалиев - М.:НИЦ ИНФРА-М,2024 -143 с.(ВО)(П)</t>
  </si>
  <si>
    <t>ЭКОНОМИКА И УПРАВЛЕНИЕ ЧЕЛОВЕЧЕСКИМИ РЕСУРСАМИ</t>
  </si>
  <si>
    <t>Асалиев А.М., Вукович Г.Г., Строителева Т.Г.</t>
  </si>
  <si>
    <t>978-5-16-018770-9</t>
  </si>
  <si>
    <t>38.04.01, 38.04.03, 38.03.01, 38.03.03, 41.03.06</t>
  </si>
  <si>
    <t>Рекомендовано Учебно-методическим объединением вузов России по образованию в области экономики и экономической теории, национальной экономики и экономики труда в качестве учебного пособия для студентов высших учебных заведений, обучающихся по направлению 38.03.01 «Экономика»</t>
  </si>
  <si>
    <t>202300.08.01</t>
  </si>
  <si>
    <t>Экономика управления персоналом: Уч. / Под ред. Кибанова А.Я.-М.:НИЦ ИНФРА-М,2023.-427с(ВО: Бак.)(П)</t>
  </si>
  <si>
    <t>ЭКОНОМИКА УПРАВЛЕНИЯ ПЕРСОНАЛОМ</t>
  </si>
  <si>
    <t>Кибанов А.Я., Митрофанова Е.А., Эсаулова И.А. и др.</t>
  </si>
  <si>
    <t>978-5-16-006018-7</t>
  </si>
  <si>
    <t>Рекомендовано Советом УМО по образованию в области менеджмента в качестве учебника для студентов высших учебных заведений, обучающихся по направлению 38.03.03 (080400) «Управление персоналом» (квалификация (степень) «бакалавр»)</t>
  </si>
  <si>
    <t>086100.11.01</t>
  </si>
  <si>
    <t>Экономические основы логистики: Уч. / Н.К.Моисеева - М.:НИЦ ИНФРА-М,2021-528 с.-(ВО: Бакалавриат)(П)</t>
  </si>
  <si>
    <t>ЭКОНОМИЧЕСКИЕ ОСНОВЫ ЛОГИСТИКИ</t>
  </si>
  <si>
    <t>Моисеева Н.К., Сергеев В.И.</t>
  </si>
  <si>
    <t>978-5-16-003146-0</t>
  </si>
  <si>
    <t>38.02.04, 38.04.07, 38.04.01, 38.04.06, 38.04.02, 38.04.04, 38.04.05, 23.03.01, 38.03.01, 38.03.06, 38.03.07, 38.03.02, 38.03.04</t>
  </si>
  <si>
    <t>Рекомендовано Учебно-методическим объединением вузов России по образованию в области логистики в качестве учебника для студентов высших учебных заведений, обучающихся по специальности «Логистика и управление цепями поставок»</t>
  </si>
  <si>
    <t>086100.12.01</t>
  </si>
  <si>
    <t>Экономические основы логистики: Уч. / С.П.Олейник - 2 изд. - М.:НИЦ ИНФРА-М,2022 - 578 с.-(ВО)(П)</t>
  </si>
  <si>
    <t>ЭКОНОМИЧЕСКИЕ ОСНОВЫ ЛОГИСТИКИ, ИЗД.2</t>
  </si>
  <si>
    <t>Олейник С.П., Моисеева Н.К.</t>
  </si>
  <si>
    <t>978-5-16-016977-4</t>
  </si>
  <si>
    <t>442650.07.01</t>
  </si>
  <si>
    <t>Электронное правительство. Электр. документооб.: Уч.пос. / С.Ю.Кабашов-М:НИЦ ИНФРА-М,2024 -320с.(ВО)</t>
  </si>
  <si>
    <t>ЭЛЕКТРОННОЕ ПРАВИТЕЛЬСТВО. ЭЛЕКТРОННЫЙ ДОКУМЕНТООБОРОТ. ТЕРМИНЫ И ОПРЕДЕЛЕНИЯ</t>
  </si>
  <si>
    <t>978-5-16-019274-1</t>
  </si>
  <si>
    <t>31.02.02, 46.03.02, 40.03.01, 40.04.01, 38.03.02, 38.03.04</t>
  </si>
  <si>
    <t>Допущено Учебно-методическим объединением вузов РФ по образованию в области историко-архивоведения в качестве учебного пособия для студентов высших учебных заведений, обучающихся по направлению подготовки 46.03.02 «Документоведение и архивоведение» (квалификация (степень) «бакалавр»)</t>
  </si>
  <si>
    <t>187050.08.01</t>
  </si>
  <si>
    <t>Элтон Мэйо: теоретик и практик упр.:Моногр./ Л.А.Бурганова.-М:НИЦ ИНФРА-М,2023-111с.(Науч.мысль) (о)</t>
  </si>
  <si>
    <t>ЭЛТОН МЭЙО: ТЕОРЕТИК И ПРАКТИК УПРАВЛЕНИЯ</t>
  </si>
  <si>
    <t>Бурганова Л. А., Савкина Е. Г.</t>
  </si>
  <si>
    <t>978-5-16-005629-6</t>
  </si>
  <si>
    <t>674627.05.01</t>
  </si>
  <si>
    <t>Эмоциональный интеллект рук. в бизнес-процессах...: Моногр. / Е.А.Хлевная-М.:НИЦ ИНФРА-М,2024-259с(П)</t>
  </si>
  <si>
    <t>ЭМОЦИОНАЛЬНЫЙ ИНТЕЛЛЕКТ РУКОВОДИТЕЛЯ В БИЗНЕС-ПРОЦЕССАХ ОРГАНИЗАЦИИ</t>
  </si>
  <si>
    <t>Хлевная Е.А., Киселева Т.С.</t>
  </si>
  <si>
    <t>978-5-16-014245-6</t>
  </si>
  <si>
    <t>38.04.02, 38.03.01, 38.03.02, 38.03.03, 44.03.01</t>
  </si>
  <si>
    <t>255500.08.01</t>
  </si>
  <si>
    <t>Эффективное научное рук. аспирантами: Моногр. / С.Д.Резник - 2 изд. - М.:НИЦ ИНФРА-М,2024 - 152с(О)</t>
  </si>
  <si>
    <t>ЭФФЕКТИВНОЕ НАУЧНОЕ РУКОВОДСТВО АСПИРАНТАМИ, ИЗД.2</t>
  </si>
  <si>
    <t>Резник С. Д., Макарова С. Н., Резник С. Д.</t>
  </si>
  <si>
    <t>978-5-16-009453-3</t>
  </si>
  <si>
    <t>736598.01.01</t>
  </si>
  <si>
    <t>Эффективное упр. орг. и производ. структурами: Моногр. / Логиновский О.В. - М.:НИЦ ИНФРА-М,2020-450 с(П)</t>
  </si>
  <si>
    <t>ЭФФЕКТИВНОЕ УПРАВЛЕНИЕ ОРГАНИЗАЦИОННЫМИ И ПРОИЗВОДСТВЕННЫМИ СТРУКТУРАМИ</t>
  </si>
  <si>
    <t>Логиновский О.В., Голлай А.В., Дранко О.И. и др.</t>
  </si>
  <si>
    <t>978-5-16-016217-1</t>
  </si>
  <si>
    <t>683709.04.01</t>
  </si>
  <si>
    <t>Эффективность упр. кадрами гос. гражд. службы...: Моногр. / Н.Ф.Алтухова - М.:НИЦ ИНФРА-М,2022 - 221с(о)</t>
  </si>
  <si>
    <t>ЭФФЕКТИВНОСТЬ УПРАВЛЕНИЯ КАДРАМИ ГОСУДАРСТВЕННОЙ ГРАЖДАНСКОЙ СЛУЖБЫ В УСЛОВИЯХ РАЗВИТИЯ ЦИФРОВОЙ ЭКОНОМИКИ И ОБЩЕСТВА ЗНАНИЙ</t>
  </si>
  <si>
    <t>Алтухова Н.Ф., Бондаренко В.В., Васильева Е.В. и др.</t>
  </si>
  <si>
    <t>978-5-16-016453-3</t>
  </si>
  <si>
    <t>433750.05.01</t>
  </si>
  <si>
    <t>Эффективный аутсорсинг. Уч.пос. / Н.П.Родинова - 2 изд.-М.:ИЦ РИОР, НИЦ ИНФРА-М,2022.-126 с.(ВО)(О)</t>
  </si>
  <si>
    <t>ЭФФЕКТИВНЫЙ АУТСОРСИНГ, ИЗД.2</t>
  </si>
  <si>
    <t>Родинова Н.П., Березняковский В.С., Остроухов В.М. и др.</t>
  </si>
  <si>
    <t>978-5-369-01855-2</t>
  </si>
  <si>
    <t>433750.02.01</t>
  </si>
  <si>
    <t>Эффективный аутсорсинг:Мех. принятия упр.реш.:Моногр./И.В.Петрова-М:ИЦ РИОР:НИЦ ИНФРА-М,2017-108с(о)</t>
  </si>
  <si>
    <t>ЭФФЕКТИВНЫЙ АУТСОРСИНГ: МЕХАНИЗМ ПРИНЯТИЯ УПРАВЛЕНЧЕСКИХ РЕШЕНИЙ</t>
  </si>
  <si>
    <t>Петрова И. В.</t>
  </si>
  <si>
    <t>978-5-369-01197-3</t>
  </si>
  <si>
    <t>660681.07.01</t>
  </si>
  <si>
    <t>Эффективный менеджмент организации: Уч.пос. / А.П.Егоршин - М.:НИЦ ИНФРА-М,2023 - 388 с.(ВО)(П)</t>
  </si>
  <si>
    <t>ЭФФЕКТИВНЫЙ МЕНЕДЖМЕНТ ОРГАНИЗАЦИИ</t>
  </si>
  <si>
    <t>978-5-16-013498-7</t>
  </si>
  <si>
    <t>Рекомендовано Министерством образования и науки Российской Федерации в качестве учебного пособия для системы повышения квалификации и переподготовки кадров. Рекомендовано в качестве учебного пособия для студентов высших учебных заведений, обучающихся по направлениям подготовки 38.04.02 «Менеджмент», 38.04.03 «Управление персоналом», 38.04.01 «Экономика» (квалификация (степень) «магистр»)</t>
  </si>
  <si>
    <t>00.00.00</t>
  </si>
  <si>
    <t>ОБЩИЕ ДИСЦИПЛИНЫ ДЛЯ ВСЕХ СПЕЦИАЛЬНОСТЕЙ</t>
  </si>
  <si>
    <t>00.03.13</t>
  </si>
  <si>
    <t>Экономика</t>
  </si>
  <si>
    <t>00.03.16</t>
  </si>
  <si>
    <t>Основы научных исследований</t>
  </si>
  <si>
    <t>00.04.16</t>
  </si>
  <si>
    <t>00.05.13</t>
  </si>
  <si>
    <t>00.05.16</t>
  </si>
  <si>
    <t>00.06.01</t>
  </si>
  <si>
    <t>Методология научных исследований</t>
  </si>
  <si>
    <t>01.00.00</t>
  </si>
  <si>
    <t>МАТЕМАТИКА И МЕХАНИКА</t>
  </si>
  <si>
    <t>01.03.02</t>
  </si>
  <si>
    <t>Прикладная математика и информатика</t>
  </si>
  <si>
    <t>01.03.03</t>
  </si>
  <si>
    <t>Механика и математическое моделирование</t>
  </si>
  <si>
    <t>01.03.04</t>
  </si>
  <si>
    <t>Прикладная математика</t>
  </si>
  <si>
    <t>01.04.01</t>
  </si>
  <si>
    <t>Математика</t>
  </si>
  <si>
    <t>01.04.03</t>
  </si>
  <si>
    <t>01.04.04</t>
  </si>
  <si>
    <t>01.06.01</t>
  </si>
  <si>
    <t>Математика и механика</t>
  </si>
  <si>
    <t>02.00.00</t>
  </si>
  <si>
    <t>КОМПЬЮТЕРНЫЕ И ИНФОРМАЦИОННЫЕ НАУКИ</t>
  </si>
  <si>
    <t>02.03.01</t>
  </si>
  <si>
    <t>Математика и компьютерные науки</t>
  </si>
  <si>
    <t>02.03.02</t>
  </si>
  <si>
    <t>Фундаментальная информатика и информационные технологии</t>
  </si>
  <si>
    <t>02.03.03</t>
  </si>
  <si>
    <t>02.04.01</t>
  </si>
  <si>
    <t>02.04.02</t>
  </si>
  <si>
    <t>02.04.03</t>
  </si>
  <si>
    <t>Математическое обеспечение и администрирование информационных систем</t>
  </si>
  <si>
    <t>03.00.00</t>
  </si>
  <si>
    <t>ФИЗИКА И АСТРОНОМИЯ</t>
  </si>
  <si>
    <t>03.03.02</t>
  </si>
  <si>
    <t>03.04.01</t>
  </si>
  <si>
    <t>Прикладные математика и физика</t>
  </si>
  <si>
    <t>03.04.02</t>
  </si>
  <si>
    <t>Физика</t>
  </si>
  <si>
    <t>03.04.03</t>
  </si>
  <si>
    <t>Радиофизика</t>
  </si>
  <si>
    <t>03.06.01</t>
  </si>
  <si>
    <t>Физика и астрономия</t>
  </si>
  <si>
    <t>04.00.00</t>
  </si>
  <si>
    <t>ХИМИЯ</t>
  </si>
  <si>
    <t>04.03.02</t>
  </si>
  <si>
    <t>Химия, физика и механика материалов</t>
  </si>
  <si>
    <t>04.04.01</t>
  </si>
  <si>
    <t>Химия</t>
  </si>
  <si>
    <t>04.04.02</t>
  </si>
  <si>
    <t>04.06.01</t>
  </si>
  <si>
    <t>Химические науки</t>
  </si>
  <si>
    <t>04.07.01</t>
  </si>
  <si>
    <t>05.00.00</t>
  </si>
  <si>
    <t>НАУКИ О ЗЕМЛЕ</t>
  </si>
  <si>
    <t>05.03.03</t>
  </si>
  <si>
    <t>Картография и геоинформатика</t>
  </si>
  <si>
    <t>05.03.06</t>
  </si>
  <si>
    <t>Экология и природопользование</t>
  </si>
  <si>
    <t>05.04.01</t>
  </si>
  <si>
    <t>Геология</t>
  </si>
  <si>
    <t>05.04.02</t>
  </si>
  <si>
    <t>География</t>
  </si>
  <si>
    <t>05.04.03</t>
  </si>
  <si>
    <t>05.04.04</t>
  </si>
  <si>
    <t>Гидрометеорология</t>
  </si>
  <si>
    <t>05.04.05</t>
  </si>
  <si>
    <t>Прикладная гидрометеорология</t>
  </si>
  <si>
    <t>05.04.06</t>
  </si>
  <si>
    <t>05.06.01</t>
  </si>
  <si>
    <t>Науки о земле</t>
  </si>
  <si>
    <t>06.00.00</t>
  </si>
  <si>
    <t>БИОЛОГИЧЕСКИЕ НАУКИ</t>
  </si>
  <si>
    <t>06.03.01</t>
  </si>
  <si>
    <t>Биология</t>
  </si>
  <si>
    <t>06.04.01</t>
  </si>
  <si>
    <t>06.04.02</t>
  </si>
  <si>
    <t>Почвоведение</t>
  </si>
  <si>
    <t>06.06.01</t>
  </si>
  <si>
    <t>Биологические науки</t>
  </si>
  <si>
    <t>06.07.01</t>
  </si>
  <si>
    <t>07.00.00</t>
  </si>
  <si>
    <t>АРХИТЕКТУРА</t>
  </si>
  <si>
    <t>07.03.03</t>
  </si>
  <si>
    <t>Дизайн архитектурной среды</t>
  </si>
  <si>
    <t>07.04.01</t>
  </si>
  <si>
    <t>Архитектура</t>
  </si>
  <si>
    <t>07.04.04</t>
  </si>
  <si>
    <t>Градостроительство</t>
  </si>
  <si>
    <t>07.06.01</t>
  </si>
  <si>
    <t>07.07.01</t>
  </si>
  <si>
    <t>07.09.04</t>
  </si>
  <si>
    <t>08.00.00</t>
  </si>
  <si>
    <t>ТЕХНИКА И ТЕХНОЛОГИИ СТРОИТЕЛЬСТВА</t>
  </si>
  <si>
    <t>08.02.01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</si>
  <si>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</si>
  <si>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</si>
  <si>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</si>
  <si>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</si>
  <si>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</si>
  <si>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</si>
  <si>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</si>
  <si>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08.02.05</t>
  </si>
  <si>
    <t>Строительство и эксплуатация автомобильных дорог и аэродромов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</si>
  <si>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</si>
  <si>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</si>
  <si>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</si>
  <si>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</si>
  <si>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08.03.01</t>
  </si>
  <si>
    <t>Строительство</t>
  </si>
  <si>
    <t>08.04.01</t>
  </si>
  <si>
    <t>08.06.01</t>
  </si>
  <si>
    <t>Техника и технологии строительства</t>
  </si>
  <si>
    <t>09.00.00</t>
  </si>
  <si>
    <t>ИНФОРМАТИКА И ВЫЧИСЛИТЕЛЬНАЯ ТЕХНИКА</t>
  </si>
  <si>
    <t>09.02.02</t>
  </si>
  <si>
    <t>Компьютерные сети</t>
  </si>
  <si>
    <t>09.02.03</t>
  </si>
  <si>
    <t>Программирование в компьютерных системах</t>
  </si>
  <si>
    <t>09.02.05</t>
  </si>
  <si>
    <t>Прикладная информатика (по отраслям)</t>
  </si>
  <si>
    <t>Информационные системы и программирование</t>
  </si>
  <si>
    <t>09.03.01</t>
  </si>
  <si>
    <t>Информатика и вычислительная техника</t>
  </si>
  <si>
    <t>09.03.02</t>
  </si>
  <si>
    <t>Информационные системы и технологии</t>
  </si>
  <si>
    <t>09.03.03</t>
  </si>
  <si>
    <t>Прикладная информатика</t>
  </si>
  <si>
    <t>09.03.04</t>
  </si>
  <si>
    <t>Программная инженерия</t>
  </si>
  <si>
    <t>09.04.01</t>
  </si>
  <si>
    <t>09.04.02</t>
  </si>
  <si>
    <t>09.04.03</t>
  </si>
  <si>
    <t>09.04.04</t>
  </si>
  <si>
    <t>09.05.01</t>
  </si>
  <si>
    <t>Применение и эксплуатация автоматизированных систем специального назначения</t>
  </si>
  <si>
    <t>09.06.01</t>
  </si>
  <si>
    <t>10.00.00</t>
  </si>
  <si>
    <t>ИНФОРМАЦИОННАЯ БЕЗОПАСНОСТЬ</t>
  </si>
  <si>
    <t>10.02.01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</si>
  <si>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</si>
  <si>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</si>
  <si>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</si>
  <si>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</si>
  <si>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</si>
  <si>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10.04.01</t>
  </si>
  <si>
    <t>Информационная безопасность</t>
  </si>
  <si>
    <t>10.05.01</t>
  </si>
  <si>
    <t>Компьютерная безопасность</t>
  </si>
  <si>
    <t>10.05.02</t>
  </si>
  <si>
    <t>10.05.03</t>
  </si>
  <si>
    <t>10.05.04</t>
  </si>
  <si>
    <t>Информационно-аналитические системы безопасности</t>
  </si>
  <si>
    <t>10.05.05</t>
  </si>
  <si>
    <t>Безопасность информационых технологий в правоохранительной сфере</t>
  </si>
  <si>
    <t>10.05.07</t>
  </si>
  <si>
    <t>Противодействие техническим разведкам</t>
  </si>
  <si>
    <t>10.06.01</t>
  </si>
  <si>
    <t>11.00.00</t>
  </si>
  <si>
    <t>ЭЛЕКТРОНИКА, РАДИОТЕХНИКА И СИСТЕМЫ СВЯЗИ</t>
  </si>
  <si>
    <t>11.02.05</t>
  </si>
  <si>
    <t>Аудиовизуальная техника</t>
  </si>
  <si>
    <t>11.02.12</t>
  </si>
  <si>
    <t>Почтовая связь</t>
  </si>
  <si>
    <t>11.02.13</t>
  </si>
  <si>
    <t>Твердотельная электроника</t>
  </si>
  <si>
    <t>11.04.01</t>
  </si>
  <si>
    <t>Радиотехника</t>
  </si>
  <si>
    <t>12.00.00</t>
  </si>
  <si>
    <t>ФОТОНИКА, ПРИБОРОСТРОЕНИЕ, ОПТИЧЕСКИЕ И БИОТЕХНИЧЕСКИЕ СИСТЕМЫ И ТЕХНОЛОГИИ</t>
  </si>
  <si>
    <t>12.02.03</t>
  </si>
  <si>
    <t>Радиоэлектронные приборные устройства</t>
  </si>
  <si>
    <t>12.02.10</t>
  </si>
  <si>
    <t>Монтаж, техническое обслуживание и ремонт биотехнических и медицинских аппаратов и систем</t>
  </si>
  <si>
    <t>12.03.03</t>
  </si>
  <si>
    <t>Фотоника и оптоинформатика</t>
  </si>
  <si>
    <t>12.03.04</t>
  </si>
  <si>
    <t>Биотехнические системы и технологии</t>
  </si>
  <si>
    <t>12.04.01</t>
  </si>
  <si>
    <t>Приборостроение</t>
  </si>
  <si>
    <t>12.06.01</t>
  </si>
  <si>
    <t>Фотоника, приборостроение, оптические и биотехнические системы и технологии</t>
  </si>
  <si>
    <t>13.00.00</t>
  </si>
  <si>
    <t>ЭЛЕКТРО- И ТЕПЛОЭНЕРГЕТИКА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</si>
  <si>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</si>
  <si>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</si>
  <si>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</si>
  <si>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</si>
  <si>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13.02.03</t>
  </si>
  <si>
    <t>Электрические станции, сети и системы</t>
  </si>
  <si>
    <t>13.02.06</t>
  </si>
  <si>
    <t>Релейная защита и автоматизация электроэнергетических систем</t>
  </si>
  <si>
    <t>Электроснабжение (по отраслям)</t>
  </si>
  <si>
    <t>13.03.01</t>
  </si>
  <si>
    <t>Теплоэнергетика и теплотехника</t>
  </si>
  <si>
    <t>13.03.02</t>
  </si>
  <si>
    <t>Электроэнергетика и электротехника</t>
  </si>
  <si>
    <t>14.00.00</t>
  </si>
  <si>
    <t>ЯДЕРНАЯ ЭНЕРГЕТИКА И ТЕХНОЛОГИИ</t>
  </si>
  <si>
    <t>14.03.01</t>
  </si>
  <si>
    <t>Ядерная энергетика и теплофизика</t>
  </si>
  <si>
    <t>14.03.02</t>
  </si>
  <si>
    <t>Ядерные физика и технологии</t>
  </si>
  <si>
    <t>14.04.02</t>
  </si>
  <si>
    <t>15.00.00</t>
  </si>
  <si>
    <t>МАШИНОСТРОЕНИЕ</t>
  </si>
  <si>
    <t>15.02.05</t>
  </si>
  <si>
    <t>Техническая эксплуатация оборудования в торговле и общественном питании</t>
  </si>
  <si>
    <t>15.02.07</t>
  </si>
  <si>
    <t>Автоматизация технологических процессов и производств (по отраслям)</t>
  </si>
  <si>
    <t>Технология машиностроения</t>
  </si>
  <si>
    <t>15.02.09</t>
  </si>
  <si>
    <t>Аддитивные технологии</t>
  </si>
  <si>
    <t>15.03.01</t>
  </si>
  <si>
    <t>Машиностроение</t>
  </si>
  <si>
    <t>15.03.05</t>
  </si>
  <si>
    <t>Конструкторско-технологическое обеспечение машиностроительных производств</t>
  </si>
  <si>
    <t>15.03.06</t>
  </si>
  <si>
    <t>Мехатроника и роботехника</t>
  </si>
  <si>
    <t>15.04.01</t>
  </si>
  <si>
    <t>15.04.04</t>
  </si>
  <si>
    <t>Автоматизация технологических процессов и производств</t>
  </si>
  <si>
    <t>15.04.05</t>
  </si>
  <si>
    <t>15.04.06</t>
  </si>
  <si>
    <t>15.05.01</t>
  </si>
  <si>
    <t>Проектирование технологических машин и комплексов</t>
  </si>
  <si>
    <t>16.00.00</t>
  </si>
  <si>
    <t>ФИЗИКО-ТЕХНИЧЕСКИЕ НАУКИ И ТЕХНОЛОГИИ</t>
  </si>
  <si>
    <t>16.03.03</t>
  </si>
  <si>
    <t>Холодильная, криогенная техника и системы жизнеобеспечения</t>
  </si>
  <si>
    <t>16.04.02</t>
  </si>
  <si>
    <t>Высокотехнологические плазменные и энергетические установки</t>
  </si>
  <si>
    <t>17.00.00</t>
  </si>
  <si>
    <t>ОРУЖИЕ И СИСТЕМЫ ВООРУЖЕНИЯ</t>
  </si>
  <si>
    <t>17.03.01</t>
  </si>
  <si>
    <t>Корабельное вооружение</t>
  </si>
  <si>
    <t>18.00.00</t>
  </si>
  <si>
    <t>ХИМИЧЕСКИЕ ТЕХНОЛОГИИ</t>
  </si>
  <si>
    <t>18.02.04</t>
  </si>
  <si>
    <t>Электрохимическое производство</t>
  </si>
  <si>
    <t>18.03.01</t>
  </si>
  <si>
    <t>Химическая технология</t>
  </si>
  <si>
    <t>18.03.02</t>
  </si>
  <si>
    <t>Энерго- и ресурсосберегающие процессы в химической технологии, нефтехимии и биотехнологии</t>
  </si>
  <si>
    <t>18.04.02</t>
  </si>
  <si>
    <t>18.05.01</t>
  </si>
  <si>
    <t>Химическая технология энергонасыщенных материалов и изделий</t>
  </si>
  <si>
    <t>19.00.00</t>
  </si>
  <si>
    <t>ПРОМЫШЛЕННАЯ ЭКОЛОГИЯ И БИОТЕХНОЛОГИИ</t>
  </si>
  <si>
    <t>19.03.01</t>
  </si>
  <si>
    <t>Биотехнология</t>
  </si>
  <si>
    <t>19.03.03</t>
  </si>
  <si>
    <t>Продукты питания животного происхождения</t>
  </si>
  <si>
    <t>19.03.04</t>
  </si>
  <si>
    <t>Технология продукции и организация общественного питания</t>
  </si>
  <si>
    <t>19.04.01</t>
  </si>
  <si>
    <t>19.04.02</t>
  </si>
  <si>
    <t>Продукты питания из растительного сырья</t>
  </si>
  <si>
    <t>19.04.03</t>
  </si>
  <si>
    <t>19.04.04</t>
  </si>
  <si>
    <t>20.00.00</t>
  </si>
  <si>
    <t>ТЕХНОСФЕРНАЯ БЕЗОПАСНОСТЬ И ПРИРОДООБУСТРОЙСТВО</t>
  </si>
  <si>
    <t>20.03.01</t>
  </si>
  <si>
    <t>Техносферная безопасность</t>
  </si>
  <si>
    <t>20.03.02</t>
  </si>
  <si>
    <t>Природообустройство и водопользование</t>
  </si>
  <si>
    <t>20.05.01</t>
  </si>
  <si>
    <t>Пожарная безопасность</t>
  </si>
  <si>
    <t>21.00.00</t>
  </si>
  <si>
    <t>ПРИКЛАДНАЯ ГЕОЛОГИЯ, ГОРНОЕ ДЕЛО, НЕФТЕГАЗОВОЕ ДЕЛО И ГЕОДЕЗИЯ</t>
  </si>
  <si>
    <t>21.02.04</t>
  </si>
  <si>
    <t>Землеустройство</t>
  </si>
  <si>
    <t>21.02.05</t>
  </si>
  <si>
    <t>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</si>
  <si>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</si>
  <si>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</si>
  <si>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21.02.07</t>
  </si>
  <si>
    <t>Аэрофотогеодезия</t>
  </si>
  <si>
    <t>21.02.12</t>
  </si>
  <si>
    <t>Технология и техника разведки месторождений полезных ископаемых</t>
  </si>
  <si>
    <t>21.02.16</t>
  </si>
  <si>
    <t>Шахтное строительство</t>
  </si>
  <si>
    <t>21.03.01</t>
  </si>
  <si>
    <t>Нефтегазовое дело</t>
  </si>
  <si>
    <t>21.03.02</t>
  </si>
  <si>
    <t>Землеустройство и кадастры</t>
  </si>
  <si>
    <t>21.03.03</t>
  </si>
  <si>
    <t>Геодезия и дистанционное зондирование</t>
  </si>
  <si>
    <t>21.04.01</t>
  </si>
  <si>
    <t>21.05.02</t>
  </si>
  <si>
    <t>Прикладная геология</t>
  </si>
  <si>
    <t>21.05.04</t>
  </si>
  <si>
    <t>Горное дело</t>
  </si>
  <si>
    <t>21.05.06</t>
  </si>
  <si>
    <t>Нефтегазовые техника и технологии</t>
  </si>
  <si>
    <t>22.00.00</t>
  </si>
  <si>
    <t>ТЕХНОЛОГИИ МАТЕРИАЛОВ</t>
  </si>
  <si>
    <t>22.02.02</t>
  </si>
  <si>
    <t>Металлургия цветных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</si>
  <si>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</si>
  <si>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</si>
  <si>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</si>
  <si>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</si>
  <si>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</si>
  <si>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</si>
  <si>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22.04.02</t>
  </si>
  <si>
    <t>Металлургия</t>
  </si>
  <si>
    <t>23.00.00</t>
  </si>
  <si>
    <t>ТЕХНИКА И ТЕХНОЛОГИИ НАЗЕМНОГО ТРАНСПОРТА</t>
  </si>
  <si>
    <t>23.02.01</t>
  </si>
  <si>
    <t>Организация перевозок и управление на транспорте (по видам)</t>
  </si>
  <si>
    <t>23.02.07</t>
  </si>
  <si>
    <t>Техническое обслуживание и ремонт двигателей, систем и агрегатов автомобилей</t>
  </si>
  <si>
    <t>23.03.01</t>
  </si>
  <si>
    <t>Технология транспортных процессов</t>
  </si>
  <si>
    <t>23.03.02</t>
  </si>
  <si>
    <t>Наземные транспортно-технологические комплексы</t>
  </si>
  <si>
    <t>23.03.03</t>
  </si>
  <si>
    <t>Эксплуатация транспортно-технологических машин и комплексов</t>
  </si>
  <si>
    <t>23.04.01</t>
  </si>
  <si>
    <t>23.04.02</t>
  </si>
  <si>
    <t>23.04.03</t>
  </si>
  <si>
    <t>23.05.01</t>
  </si>
  <si>
    <t>Наземные транспортно-технологические средства</t>
  </si>
  <si>
    <t>23.05.02</t>
  </si>
  <si>
    <t>Транспортные средства специального назначения</t>
  </si>
  <si>
    <t>23.05.03</t>
  </si>
  <si>
    <t>Подвижной состав железных дорог</t>
  </si>
  <si>
    <t>23.05.04</t>
  </si>
  <si>
    <t>Эксплуатация железных дорог</t>
  </si>
  <si>
    <t>23.05.05</t>
  </si>
  <si>
    <t>Системы обеспечения движения поездов</t>
  </si>
  <si>
    <t>23.05.06</t>
  </si>
  <si>
    <t>Строительство железных дорог, мостов и транспортных тоннелей</t>
  </si>
  <si>
    <t>23.06.01</t>
  </si>
  <si>
    <t>Техника и технологии наземного транспорта</t>
  </si>
  <si>
    <t>24.00.00</t>
  </si>
  <si>
    <t>АВИАЦИОННАЯ И РАКЕТНО-КОСМИЧЕСКАЯ ТЕХНИКА</t>
  </si>
  <si>
    <t>24.02.01</t>
  </si>
  <si>
    <t>Производство летательных аппаратов</t>
  </si>
  <si>
    <t>24.03.01</t>
  </si>
  <si>
    <t>Ракетные комплексы и космонавтика</t>
  </si>
  <si>
    <t>24.04.01</t>
  </si>
  <si>
    <t>24.05.01</t>
  </si>
  <si>
    <t>Проектирование, производство и эксплуатация ракет и ракетно-космических комплексов</t>
  </si>
  <si>
    <t>24.05.04</t>
  </si>
  <si>
    <t>Навигационно-баллистическое обеспечение применения космической техники</t>
  </si>
  <si>
    <t>24.05.07</t>
  </si>
  <si>
    <t>Самолето- и вертолетостроение</t>
  </si>
  <si>
    <t>25.00.00</t>
  </si>
  <si>
    <t>АЭРОНАВИГАЦИЯ И ЭКСПЛУАТАЦИЯ АВИАЦИОННОЙ И РАКЕТНО-КОСМИЧЕСКОЙ ТЕХНИКИ</t>
  </si>
  <si>
    <t>25.02.01</t>
  </si>
  <si>
    <t>Техническая эксплуатация летательных аппаратов и двигателей</t>
  </si>
  <si>
    <t>25.02.04</t>
  </si>
  <si>
    <t>Летная эксплуатация летательных аппаратов</t>
  </si>
  <si>
    <t>25.02.07</t>
  </si>
  <si>
    <t>Техническое обслуживание авиационных двигателей</t>
  </si>
  <si>
    <t>25.03.01</t>
  </si>
  <si>
    <t>Техническая эксплуатация летательных апаратов и двигателей</t>
  </si>
  <si>
    <t>25.03.03</t>
  </si>
  <si>
    <t>Аэронавигация</t>
  </si>
  <si>
    <t>25.03.04</t>
  </si>
  <si>
    <t>Эксплуатация аэропортов и обеспечение полетов воздушных судов</t>
  </si>
  <si>
    <t>25.04.01</t>
  </si>
  <si>
    <t>25.04.02</t>
  </si>
  <si>
    <t>Техническая эксплуатация авиационных электросистем и пилотажно-навигационных комплексов</t>
  </si>
  <si>
    <t>25.04.03</t>
  </si>
  <si>
    <t>25.04.04</t>
  </si>
  <si>
    <t>25.05.05</t>
  </si>
  <si>
    <t>Эксплуатация воздушных судов и организация воздушного движения</t>
  </si>
  <si>
    <t>26.00.00</t>
  </si>
  <si>
    <t>ТЕХНИКА И ТЕХНОЛОГИИ КОРАБЛЕСТРОЕНИЯ И ВОДНОГО ТРАНСПОРТА</t>
  </si>
  <si>
    <t>26.02.02</t>
  </si>
  <si>
    <t>Судостроение</t>
  </si>
  <si>
    <t>26.02.04</t>
  </si>
  <si>
    <t>Монтаж и техническое обслуживание судовых машин и механизмов</t>
  </si>
  <si>
    <t>26.03.01</t>
  </si>
  <si>
    <t>Управление водным транспортом и гидрографическое обеспечение судоходства</t>
  </si>
  <si>
    <t>26.03.02</t>
  </si>
  <si>
    <t>Кораблестроение, океанотехника и системотехника объектов морской инфраструктуры</t>
  </si>
  <si>
    <t>27.00.00</t>
  </si>
  <si>
    <t>УПРАВЛЕНИЕ В ТЕХНИЧЕСКИХ СИСТЕМАХ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</si>
  <si>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</si>
  <si>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</si>
  <si>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</si>
  <si>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</si>
  <si>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</si>
  <si>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</si>
  <si>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</si>
  <si>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</si>
  <si>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</si>
  <si>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</si>
  <si>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</si>
  <si>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</si>
  <si>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</si>
  <si>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</si>
  <si>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27.03.01</t>
  </si>
  <si>
    <t>Стандартизация и метрология</t>
  </si>
  <si>
    <t>27.03.02</t>
  </si>
  <si>
    <t>Управление качеством</t>
  </si>
  <si>
    <t>27.03.03</t>
  </si>
  <si>
    <t>Системный анализ и управление</t>
  </si>
  <si>
    <t>27.03.04</t>
  </si>
  <si>
    <t>Управление в технических системах</t>
  </si>
  <si>
    <t>Инноватика</t>
  </si>
  <si>
    <t>27.04.01</t>
  </si>
  <si>
    <t>27.04.02</t>
  </si>
  <si>
    <t>27.04.03</t>
  </si>
  <si>
    <t>27.04.04</t>
  </si>
  <si>
    <t>27.04.05</t>
  </si>
  <si>
    <t>27.04.06</t>
  </si>
  <si>
    <t>Организация и управление наукоемкими производствами</t>
  </si>
  <si>
    <t>27.04.07</t>
  </si>
  <si>
    <t>Наукоемкие технологии и экономика инноваций</t>
  </si>
  <si>
    <t>27.04.08</t>
  </si>
  <si>
    <t>Управление интеллепктуальной собственностью</t>
  </si>
  <si>
    <t>27.05.01</t>
  </si>
  <si>
    <t>Специальные организационно-технические системы</t>
  </si>
  <si>
    <t>27.05.02</t>
  </si>
  <si>
    <t>Метрологическое обеспечение вооружения и военной техники</t>
  </si>
  <si>
    <t>27.06.01</t>
  </si>
  <si>
    <t>28.00.00</t>
  </si>
  <si>
    <t>НАНОТЕХНОЛОГИИ И НАНОМАТЕРИАЛЫ</t>
  </si>
  <si>
    <t>28.03.01</t>
  </si>
  <si>
    <t>Нанотехнологии и микросистемная техника</t>
  </si>
  <si>
    <t>28.03.02</t>
  </si>
  <si>
    <t>Наноинженерия</t>
  </si>
  <si>
    <t>28.04.02</t>
  </si>
  <si>
    <t>29.00.00</t>
  </si>
  <si>
    <t>ТЕХНОЛОГИИ ЛЕГКОЙ ПРОМЫШЛЕННОСТИ</t>
  </si>
  <si>
    <t>29.02.01</t>
  </si>
  <si>
    <t>Конструирование, моделирование и технология изделий из кожи</t>
  </si>
  <si>
    <t>29.03.02</t>
  </si>
  <si>
    <t>Технологии и проектирование техстильных изделий</t>
  </si>
  <si>
    <t>29.03.03</t>
  </si>
  <si>
    <t>Технология полиграфического и упаковочного производства</t>
  </si>
  <si>
    <t>29.04.02</t>
  </si>
  <si>
    <t>31.00.00</t>
  </si>
  <si>
    <t>КЛИНИЧЕСКАЯ МЕДИЦИНА</t>
  </si>
  <si>
    <t>31.02.01</t>
  </si>
  <si>
    <t>Лечебное дело</t>
  </si>
  <si>
    <t>31.02.02</t>
  </si>
  <si>
    <t>Акушерское дело</t>
  </si>
  <si>
    <t>31.02.04</t>
  </si>
  <si>
    <t>Медицинская оптика</t>
  </si>
  <si>
    <t>35.00.00</t>
  </si>
  <si>
    <t>СЕЛЬСКОЕ, ЛЕСНОЕ И РЫБНОЕ ХОЗЯЙСТВО</t>
  </si>
  <si>
    <t>35.02.03</t>
  </si>
  <si>
    <t>Технология деревообработки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</si>
  <si>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</si>
  <si>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</si>
  <si>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</si>
  <si>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</si>
  <si>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</si>
  <si>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</si>
  <si>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</si>
  <si>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</si>
  <si>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35.02.12</t>
  </si>
  <si>
    <t>Садово-парковое и ландшафтное строительство</t>
  </si>
  <si>
    <t>35.02.16</t>
  </si>
  <si>
    <t>Эксплуатация и ремонт сельскохозяйственной техники и оборудования</t>
  </si>
  <si>
    <t>35.03.01</t>
  </si>
  <si>
    <t>Лесное дело</t>
  </si>
  <si>
    <t>35.03.02</t>
  </si>
  <si>
    <t>Технология лесозаготовительных и деревоперерабатывающих производств</t>
  </si>
  <si>
    <t>35.03.03</t>
  </si>
  <si>
    <t>Агрохимия и агропочвоведение</t>
  </si>
  <si>
    <t>35.03.05</t>
  </si>
  <si>
    <t>Садоводство</t>
  </si>
  <si>
    <t>Агроинженерия</t>
  </si>
  <si>
    <t>35.03.07</t>
  </si>
  <si>
    <t>35.03.08</t>
  </si>
  <si>
    <t>Водные биоресурсы и аквакультура</t>
  </si>
  <si>
    <t>35.03.09</t>
  </si>
  <si>
    <t>Промышленное рыболовство</t>
  </si>
  <si>
    <t>35.04.04</t>
  </si>
  <si>
    <t>35.04.05</t>
  </si>
  <si>
    <t>35.04.06</t>
  </si>
  <si>
    <t>35.04.07</t>
  </si>
  <si>
    <t>35.06.01</t>
  </si>
  <si>
    <t>Сельское хозяйство</t>
  </si>
  <si>
    <t>36.00.00</t>
  </si>
  <si>
    <t>ВЕТЕРИНАРИЯ И ЗООТЕХНИЯ</t>
  </si>
  <si>
    <t>36.03.02</t>
  </si>
  <si>
    <t>Зоотехния</t>
  </si>
  <si>
    <t>37.00.00</t>
  </si>
  <si>
    <t>ПСИХОЛОГИЧЕСКИЕ НАУКИ</t>
  </si>
  <si>
    <t>37.03.01</t>
  </si>
  <si>
    <t>Психология</t>
  </si>
  <si>
    <t>37.03.02</t>
  </si>
  <si>
    <t>Конфликтология</t>
  </si>
  <si>
    <t>37.04.01</t>
  </si>
  <si>
    <t>37.04.02</t>
  </si>
  <si>
    <t>37.05.01</t>
  </si>
  <si>
    <t>Клиническая психология</t>
  </si>
  <si>
    <t>37.05.02</t>
  </si>
  <si>
    <t>Психология служебной деятельности</t>
  </si>
  <si>
    <t>37.06.01</t>
  </si>
  <si>
    <t>Психологические науки</t>
  </si>
  <si>
    <t>38.00.00</t>
  </si>
  <si>
    <t>ЭКОНОМИКА И УПРАВЛЕНИЕ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</si>
  <si>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</si>
  <si>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</si>
  <si>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</si>
  <si>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</si>
  <si>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</si>
  <si>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</si>
  <si>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</si>
  <si>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</si>
  <si>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</si>
  <si>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</si>
  <si>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</si>
  <si>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</si>
  <si>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</si>
  <si>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</si>
  <si>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</si>
  <si>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</si>
  <si>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</si>
  <si>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</si>
  <si>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</si>
  <si>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Менеджмент</t>
  </si>
  <si>
    <t>Управление персоналом</t>
  </si>
  <si>
    <t>Государственное и муниципальное управление</t>
  </si>
  <si>
    <t>38.03.05</t>
  </si>
  <si>
    <t>Бизнес-информатика</t>
  </si>
  <si>
    <t>Торговое дело</t>
  </si>
  <si>
    <t>38.03.07</t>
  </si>
  <si>
    <t>Товароведение</t>
  </si>
  <si>
    <t>38.03.10</t>
  </si>
  <si>
    <t>Жилищное хозяйство и коммунальная инфраструктура</t>
  </si>
  <si>
    <t>38.04.04</t>
  </si>
  <si>
    <t>38.04.05</t>
  </si>
  <si>
    <t>38.04.06</t>
  </si>
  <si>
    <t>38.04.07</t>
  </si>
  <si>
    <t>Финансы и кредит</t>
  </si>
  <si>
    <t>38.04.09</t>
  </si>
  <si>
    <t>Государственный аудит</t>
  </si>
  <si>
    <t>38.05.01</t>
  </si>
  <si>
    <t>Экономическая безопасность</t>
  </si>
  <si>
    <t>38.05.02</t>
  </si>
  <si>
    <t>Таможенное дело</t>
  </si>
  <si>
    <t>38.07.02</t>
  </si>
  <si>
    <t>39.00.00</t>
  </si>
  <si>
    <t>СОЦИОЛОГИЯ И СОЦИАЛЬНАЯ РАБОТА</t>
  </si>
  <si>
    <t>39.02.02</t>
  </si>
  <si>
    <t>Организация сурдокоммуникации</t>
  </si>
  <si>
    <t>39.03.01</t>
  </si>
  <si>
    <t>Социология</t>
  </si>
  <si>
    <t>39.03.02</t>
  </si>
  <si>
    <t>Социальная работа</t>
  </si>
  <si>
    <t>39.03.03</t>
  </si>
  <si>
    <t>Организация работы с молодежью</t>
  </si>
  <si>
    <t>39.04.02</t>
  </si>
  <si>
    <t>39.04.03</t>
  </si>
  <si>
    <t>39.06.01</t>
  </si>
  <si>
    <t>Социологические науки</t>
  </si>
  <si>
    <t>39.07.01</t>
  </si>
  <si>
    <t>40.00.00</t>
  </si>
  <si>
    <t>ЮРИСПРУДЕНЦИЯ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</si>
  <si>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</si>
  <si>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</si>
  <si>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</si>
  <si>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</si>
  <si>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</si>
  <si>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</si>
  <si>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40.03.01</t>
  </si>
  <si>
    <t>Юриспруденция</t>
  </si>
  <si>
    <t>40.04.01</t>
  </si>
  <si>
    <t>40.05.01</t>
  </si>
  <si>
    <t>Правовое обеспечение национальной безопасности</t>
  </si>
  <si>
    <t>40.05.02</t>
  </si>
  <si>
    <t>40.05.03</t>
  </si>
  <si>
    <t>Судебная экспертиза</t>
  </si>
  <si>
    <t>40.05.04</t>
  </si>
  <si>
    <t>Судебная и прокурорская деятельность</t>
  </si>
  <si>
    <t>40.06.01</t>
  </si>
  <si>
    <t>41.00.00</t>
  </si>
  <si>
    <t>ПОЛИТИЧЕСКИЕ НАУКИ И РЕГИОНОВЕДЕНИЕ</t>
  </si>
  <si>
    <t>41.03.01</t>
  </si>
  <si>
    <t>Зарубежное регионоведение</t>
  </si>
  <si>
    <t>41.03.04</t>
  </si>
  <si>
    <t>Политология</t>
  </si>
  <si>
    <t>41.03.05</t>
  </si>
  <si>
    <t>Международные отношения</t>
  </si>
  <si>
    <t>41.03.06</t>
  </si>
  <si>
    <t>Публичная политика и социальные науки</t>
  </si>
  <si>
    <t>41.04.01</t>
  </si>
  <si>
    <t>41.04.04</t>
  </si>
  <si>
    <t>41.04.05</t>
  </si>
  <si>
    <t>41.06.01</t>
  </si>
  <si>
    <t>Политические науки и регионоведение</t>
  </si>
  <si>
    <t>41.07.01</t>
  </si>
  <si>
    <t>42.00.00</t>
  </si>
  <si>
    <t>СРЕДСТВА МАССОВОЙ ИНФОРМАЦИИ И ИНФОРМАЦИОННО-БИБЛИОТЕЧНОЕ ДЕЛО</t>
  </si>
  <si>
    <t>42.02.01</t>
  </si>
  <si>
    <t>Реклама</t>
  </si>
  <si>
    <t>42.03.01</t>
  </si>
  <si>
    <t>Реклама и связи с общественностью</t>
  </si>
  <si>
    <t>42.03.02</t>
  </si>
  <si>
    <t>Журналистика</t>
  </si>
  <si>
    <t>42.03.03</t>
  </si>
  <si>
    <t>Издательское дело</t>
  </si>
  <si>
    <t>42.03.05</t>
  </si>
  <si>
    <t>Медиакоммуникации</t>
  </si>
  <si>
    <t>42.04.01</t>
  </si>
  <si>
    <t>42.04.02</t>
  </si>
  <si>
    <t>42.04.04</t>
  </si>
  <si>
    <t>Телевидение</t>
  </si>
  <si>
    <t>42.04.05</t>
  </si>
  <si>
    <t>43.00.00</t>
  </si>
  <si>
    <t>СЕРВИС И ТУРИЗМ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</si>
  <si>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</si>
  <si>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</si>
  <si>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</si>
  <si>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</si>
  <si>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43.02.04</t>
  </si>
  <si>
    <t>Прикладная эстетика</t>
  </si>
  <si>
    <t>43.02.06</t>
  </si>
  <si>
    <t>Сервис на транспорте (по видам транспорта)</t>
  </si>
  <si>
    <t>43.02.08</t>
  </si>
  <si>
    <t>Сервис домашнего и коммунального хозяйства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</si>
  <si>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</si>
  <si>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</si>
  <si>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</si>
  <si>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</si>
  <si>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</si>
  <si>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</si>
  <si>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</si>
  <si>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Гостиничное дело</t>
  </si>
  <si>
    <t>Сервис</t>
  </si>
  <si>
    <t>43.04.01</t>
  </si>
  <si>
    <t>43.04.02</t>
  </si>
  <si>
    <t>43.04.03</t>
  </si>
  <si>
    <t>44.00.00</t>
  </si>
  <si>
    <t>ОБРАЗОВАНИЕ И ПЕДАГОГИЧЕСКИЕ НАУКИ</t>
  </si>
  <si>
    <t>44.03.01</t>
  </si>
  <si>
    <t>Педагогическое образование</t>
  </si>
  <si>
    <t>44.03.02</t>
  </si>
  <si>
    <t>Психолого-педагогическое образование</t>
  </si>
  <si>
    <t>44.03.03</t>
  </si>
  <si>
    <t>Специальное (дефектологическое) образование</t>
  </si>
  <si>
    <t>44.03.04</t>
  </si>
  <si>
    <t>Профессиональное обучение (по отраслям)</t>
  </si>
  <si>
    <t>44.03.05</t>
  </si>
  <si>
    <t>Педагогическое образование (с двумя профилями подготовки)</t>
  </si>
  <si>
    <t>44.04.01</t>
  </si>
  <si>
    <t>44.04.02</t>
  </si>
  <si>
    <t>44.04.03</t>
  </si>
  <si>
    <t>44.04.04</t>
  </si>
  <si>
    <t>44.05.01</t>
  </si>
  <si>
    <t>Педагогика и психология девиантного поведения</t>
  </si>
  <si>
    <t>44.06.01</t>
  </si>
  <si>
    <t>Образование и педагогические науки</t>
  </si>
  <si>
    <t>44.07.01</t>
  </si>
  <si>
    <t>45.00.00</t>
  </si>
  <si>
    <t>ЯЗЫКОЗНАНИЕ И ЛИТЕРАТУРОВЕДЕНИЕ</t>
  </si>
  <si>
    <t>45.03.01</t>
  </si>
  <si>
    <t>Филология</t>
  </si>
  <si>
    <t>45.03.02</t>
  </si>
  <si>
    <t>Лингвистика</t>
  </si>
  <si>
    <t>45.03.03</t>
  </si>
  <si>
    <t>Фундаментальная и прикладная лингвистика</t>
  </si>
  <si>
    <t>45.03.04</t>
  </si>
  <si>
    <t>Интеллектуальные системы в гуманитарной сфере</t>
  </si>
  <si>
    <t>45.04.01</t>
  </si>
  <si>
    <t>45.04.02</t>
  </si>
  <si>
    <t>45.04.03</t>
  </si>
  <si>
    <t>45.04.04</t>
  </si>
  <si>
    <t>46.00.00</t>
  </si>
  <si>
    <t>ИСТОРИЯ И АРХЕОЛОГИЯ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</si>
  <si>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</si>
  <si>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</si>
  <si>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</si>
  <si>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</si>
  <si>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46.03.01</t>
  </si>
  <si>
    <t>История</t>
  </si>
  <si>
    <t>46.03.02</t>
  </si>
  <si>
    <t>Документоведение и архивоведение</t>
  </si>
  <si>
    <t>46.04.02</t>
  </si>
  <si>
    <t>47.00.00</t>
  </si>
  <si>
    <t>ФИЛОСОФИЯ, ЭТИКА И РЕЛИГИОВЕДЕНИЕ</t>
  </si>
  <si>
    <t>47.03.01</t>
  </si>
  <si>
    <t>Философия</t>
  </si>
  <si>
    <t>47.04.01</t>
  </si>
  <si>
    <t>48.00.00</t>
  </si>
  <si>
    <t>ТЕОЛОГИЯ</t>
  </si>
  <si>
    <t>48.04.01</t>
  </si>
  <si>
    <t>Теология</t>
  </si>
  <si>
    <t>49.00.00</t>
  </si>
  <si>
    <t>ФИЗИЧЕСКАЯ КУЛЬТУРА И СПОРТ</t>
  </si>
  <si>
    <t>49.02.02</t>
  </si>
  <si>
    <t>Адаптивная физическая культура</t>
  </si>
  <si>
    <t>Рекреация и спортивно-оздоровительный туризм</t>
  </si>
  <si>
    <t>49.04.01</t>
  </si>
  <si>
    <t>Физическая культура</t>
  </si>
  <si>
    <t>50.00.00</t>
  </si>
  <si>
    <t>ИСКУССТВОЗНАНИЕ</t>
  </si>
  <si>
    <t>50.03.04</t>
  </si>
  <si>
    <t>Теория и история искусств</t>
  </si>
  <si>
    <t>50.04.04</t>
  </si>
  <si>
    <t>51.00.00</t>
  </si>
  <si>
    <t>КУЛЬТУРОВЕДЕНИЕ И СОЦИОКУЛЬТУРНЫЕ ПРОЕКТЫ</t>
  </si>
  <si>
    <t>51.03.01</t>
  </si>
  <si>
    <t>Культурология</t>
  </si>
  <si>
    <t>51.03.02</t>
  </si>
  <si>
    <t>Народная художественная культура</t>
  </si>
  <si>
    <t>51.03.03</t>
  </si>
  <si>
    <t>Социально-культурная деятельность</t>
  </si>
  <si>
    <t>51.03.04</t>
  </si>
  <si>
    <t>Музеология и охрана объектов культурного и природного наследия</t>
  </si>
  <si>
    <t>51.03.05</t>
  </si>
  <si>
    <t>Режессура театрализованных представлений и праздников</t>
  </si>
  <si>
    <t>51.04.01</t>
  </si>
  <si>
    <t>51.04.04</t>
  </si>
  <si>
    <t>52.00.00</t>
  </si>
  <si>
    <t>СЦЕНИЧЕСКИЕ ИСКУССТВА И ЛИТЕРАТУРНОЕ ТВОРЧЕСТВО</t>
  </si>
  <si>
    <t>52.03.01</t>
  </si>
  <si>
    <t>Хореографическое искусство</t>
  </si>
  <si>
    <t>53.00.00</t>
  </si>
  <si>
    <t>МУЗЫКАЛЬНОЕ ИСКУССТВО</t>
  </si>
  <si>
    <t>53.03.01</t>
  </si>
  <si>
    <t>Музыкальное искусство эстрады</t>
  </si>
  <si>
    <t>53.03.03</t>
  </si>
  <si>
    <t>Вокальное искусство</t>
  </si>
  <si>
    <t>53.04.06</t>
  </si>
  <si>
    <t>Музыкознание и музыкально-прикладное искусство</t>
  </si>
  <si>
    <t>53.05.04</t>
  </si>
  <si>
    <t>Музыкально-театральное искусство</t>
  </si>
  <si>
    <t>54.00.00</t>
  </si>
  <si>
    <t>ИЗОБРАЗИТЕЛЬНОЕ И ПРИКЛАДНЫЕ ВИДЫ ИСКУССТВ</t>
  </si>
  <si>
    <t>54.01.20</t>
  </si>
  <si>
    <t>Графический дизайнер</t>
  </si>
  <si>
    <t>54.02.01</t>
  </si>
  <si>
    <t>Дизайн (по отраслям)</t>
  </si>
  <si>
    <t>54.02.03</t>
  </si>
  <si>
    <t>Художественное оформление изделий текстильной и легкой промышленности</t>
  </si>
  <si>
    <t>55.00.00</t>
  </si>
  <si>
    <t>ЭКРАННЫЕ ИСКУССТВА</t>
  </si>
  <si>
    <t>55.05.04</t>
  </si>
  <si>
    <t>Продюсерство</t>
  </si>
  <si>
    <t>56.00.00</t>
  </si>
  <si>
    <t>ОБОРОНА И БЕЗОПАСНОСТЬ ГОСУДАРСТВА. ВОЕННЫЕ НАУКИ</t>
  </si>
  <si>
    <t>56.05.01</t>
  </si>
  <si>
    <t>Тыловое обеспечение</t>
  </si>
  <si>
    <t>56.05.04</t>
  </si>
  <si>
    <t>Управление персоналом (Вооруженные Силы РФ,другие войска, воинские формирования и приравненные к ним органы РФ)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</si>
</sst>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2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1" xfId="1" applyBorder="1" applyAlignment="1" applyProtection="1">
      <alignment horizontal="left" wrapText="1"/>
    </xf>
    <xf numFmtId="0" fontId="11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1367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</cols>
  <sheetData>
    <row r="1" spans="1:27" s="1" customFormat="1" ht="15" customHeight="1">
      <c r="A1" s="16" t="s">
        <v>0</v>
      </c>
      <c r="B1" s="16"/>
      <c r="C1" s="16"/>
      <c r="D1" s="16"/>
      <c r="E1" s="16"/>
      <c r="F1" s="17" t="s">
        <v>1</v>
      </c>
      <c r="G1" s="17"/>
      <c r="H1" s="17"/>
      <c r="I1" s="17"/>
      <c r="J1" s="19" t="s">
        <v>2</v>
      </c>
      <c r="K1" s="19"/>
      <c r="L1" s="19"/>
      <c r="M1" s="19"/>
      <c r="N1" s="19"/>
      <c r="O1" s="19"/>
    </row>
    <row r="2" spans="1:27" s="1" customFormat="1" ht="15" customHeight="1">
      <c r="A2" s="20" t="s">
        <v>3</v>
      </c>
      <c r="B2" s="20"/>
      <c r="C2" s="20"/>
      <c r="D2" s="20"/>
      <c r="E2" s="20"/>
      <c r="F2" s="18"/>
      <c r="G2" s="18"/>
      <c r="H2" s="18"/>
      <c r="I2" s="18"/>
      <c r="J2" s="21" t="s">
        <v>4</v>
      </c>
      <c r="K2" s="21"/>
      <c r="L2" s="21"/>
      <c r="M2" s="21"/>
      <c r="N2" s="21"/>
      <c r="O2" s="21"/>
    </row>
    <row r="3" spans="1:27" s="1" customFormat="1" ht="15" customHeight="1">
      <c r="A3" s="20" t="s">
        <v>5</v>
      </c>
      <c r="B3" s="20"/>
      <c r="C3" s="20"/>
      <c r="D3" s="20"/>
      <c r="E3" s="20"/>
      <c r="F3" s="18"/>
      <c r="G3" s="18"/>
      <c r="H3" s="18"/>
      <c r="I3" s="18"/>
      <c r="J3" s="22"/>
      <c r="K3" s="22"/>
      <c r="L3" s="22"/>
      <c r="M3" s="22"/>
      <c r="N3" s="22"/>
      <c r="O3" s="22"/>
    </row>
    <row r="4" spans="1:27" s="1" customFormat="1" ht="15" customHeight="1">
      <c r="A4" s="26" t="str">
        <f>HYPERLINK("mailto:books@infra-m.ru", "mailto:books@infra-m.ru")</f>
        <v>mailto:books@infra-m.ru</v>
      </c>
      <c r="B4" s="23"/>
      <c r="C4" s="23"/>
      <c r="D4" s="23"/>
      <c r="E4" s="23"/>
      <c r="F4" s="18"/>
      <c r="G4" s="18"/>
      <c r="H4" s="18"/>
      <c r="I4" s="18"/>
      <c r="J4" s="22"/>
      <c r="K4" s="22"/>
      <c r="L4" s="22"/>
      <c r="M4" s="22"/>
      <c r="N4" s="22"/>
      <c r="O4" s="22"/>
    </row>
    <row r="5" spans="1:27" s="1" customFormat="1" ht="15" customHeight="1">
      <c r="A5" s="26" t="str">
        <f>HYPERLINK("https://infra-m.ru", "https://infra-m.ru")</f>
        <v>https://infra-m.ru</v>
      </c>
      <c r="B5" s="23"/>
      <c r="C5" s="23"/>
      <c r="D5" s="23"/>
      <c r="E5" s="23"/>
      <c r="F5" s="18"/>
      <c r="G5" s="18"/>
      <c r="H5" s="18"/>
      <c r="I5" s="18"/>
      <c r="J5" s="22"/>
      <c r="K5" s="22"/>
      <c r="L5" s="22"/>
      <c r="M5" s="22"/>
      <c r="N5" s="22"/>
      <c r="O5" s="22"/>
    </row>
    <row r="6" spans="1:27" s="1" customFormat="1" ht="11.1" customHeight="1"/>
    <row r="7" spans="1:27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</row>
    <row r="8" spans="1:27" s="4" customFormat="1" ht="51.95" customHeight="1">
      <c r="A8" s="5">
        <v>0</v>
      </c>
      <c r="B8" s="6" t="s">
        <v>33</v>
      </c>
      <c r="C8" s="7">
        <v>844.9</v>
      </c>
      <c r="D8" s="8" t="s">
        <v>34</v>
      </c>
      <c r="E8" s="8" t="s">
        <v>35</v>
      </c>
      <c r="F8" s="8" t="s">
        <v>36</v>
      </c>
      <c r="G8" s="6" t="s">
        <v>37</v>
      </c>
      <c r="H8" s="6" t="s">
        <v>38</v>
      </c>
      <c r="I8" s="8"/>
      <c r="J8" s="9">
        <v>16</v>
      </c>
      <c r="K8" s="9">
        <v>288</v>
      </c>
      <c r="L8" s="9">
        <v>2017</v>
      </c>
      <c r="M8" s="8" t="s">
        <v>39</v>
      </c>
      <c r="N8" s="8" t="s">
        <v>40</v>
      </c>
      <c r="O8" s="8" t="s">
        <v>41</v>
      </c>
      <c r="P8" s="6" t="s">
        <v>42</v>
      </c>
      <c r="Q8" s="8" t="s">
        <v>43</v>
      </c>
      <c r="R8" s="10" t="s">
        <v>44</v>
      </c>
      <c r="S8" s="11" t="s">
        <v>45</v>
      </c>
      <c r="T8" s="6"/>
      <c r="U8" s="27" t="str">
        <f>HYPERLINK("https://media.infra-m.ru/0772/0772498/cover/772498.jpg", "Обложка")</f>
        <v>Обложка</v>
      </c>
      <c r="V8" s="27" t="str">
        <f>HYPERLINK("https://znanium.com/catalog/product/2080466", "Ознакомиться")</f>
        <v>Ознакомиться</v>
      </c>
      <c r="W8" s="8" t="s">
        <v>46</v>
      </c>
      <c r="X8" s="6"/>
      <c r="Y8" s="6"/>
      <c r="Z8" s="6"/>
      <c r="AA8" s="6" t="s">
        <v>47</v>
      </c>
    </row>
    <row r="9" spans="1:27" s="4" customFormat="1" ht="51.95" customHeight="1">
      <c r="A9" s="5">
        <v>0</v>
      </c>
      <c r="B9" s="6" t="s">
        <v>48</v>
      </c>
      <c r="C9" s="7">
        <v>480</v>
      </c>
      <c r="D9" s="8" t="s">
        <v>49</v>
      </c>
      <c r="E9" s="8" t="s">
        <v>50</v>
      </c>
      <c r="F9" s="8" t="s">
        <v>51</v>
      </c>
      <c r="G9" s="6" t="s">
        <v>52</v>
      </c>
      <c r="H9" s="6" t="s">
        <v>53</v>
      </c>
      <c r="I9" s="8" t="s">
        <v>54</v>
      </c>
      <c r="J9" s="9">
        <v>1</v>
      </c>
      <c r="K9" s="9">
        <v>100</v>
      </c>
      <c r="L9" s="9">
        <v>2024</v>
      </c>
      <c r="M9" s="8" t="s">
        <v>55</v>
      </c>
      <c r="N9" s="8" t="s">
        <v>56</v>
      </c>
      <c r="O9" s="8" t="s">
        <v>57</v>
      </c>
      <c r="P9" s="6" t="s">
        <v>42</v>
      </c>
      <c r="Q9" s="8" t="s">
        <v>58</v>
      </c>
      <c r="R9" s="10" t="s">
        <v>59</v>
      </c>
      <c r="S9" s="11" t="s">
        <v>60</v>
      </c>
      <c r="T9" s="6"/>
      <c r="U9" s="27" t="str">
        <f>HYPERLINK("https://media.infra-m.ru/2107/2107287/cover/2107287.jpg", "Обложка")</f>
        <v>Обложка</v>
      </c>
      <c r="V9" s="27" t="str">
        <f>HYPERLINK("https://znanium.com/catalog/product/2107287", "Ознакомиться")</f>
        <v>Ознакомиться</v>
      </c>
      <c r="W9" s="8" t="s">
        <v>61</v>
      </c>
      <c r="X9" s="6"/>
      <c r="Y9" s="6"/>
      <c r="Z9" s="6"/>
      <c r="AA9" s="6" t="s">
        <v>62</v>
      </c>
    </row>
    <row r="10" spans="1:27" s="4" customFormat="1" ht="51.95" customHeight="1">
      <c r="A10" s="5">
        <v>0</v>
      </c>
      <c r="B10" s="6" t="s">
        <v>63</v>
      </c>
      <c r="C10" s="13">
        <v>1810</v>
      </c>
      <c r="D10" s="8" t="s">
        <v>64</v>
      </c>
      <c r="E10" s="8" t="s">
        <v>65</v>
      </c>
      <c r="F10" s="8" t="s">
        <v>66</v>
      </c>
      <c r="G10" s="6" t="s">
        <v>67</v>
      </c>
      <c r="H10" s="6" t="s">
        <v>53</v>
      </c>
      <c r="I10" s="8" t="s">
        <v>54</v>
      </c>
      <c r="J10" s="9">
        <v>1</v>
      </c>
      <c r="K10" s="9">
        <v>393</v>
      </c>
      <c r="L10" s="9">
        <v>2024</v>
      </c>
      <c r="M10" s="8" t="s">
        <v>68</v>
      </c>
      <c r="N10" s="8" t="s">
        <v>56</v>
      </c>
      <c r="O10" s="8" t="s">
        <v>57</v>
      </c>
      <c r="P10" s="6" t="s">
        <v>69</v>
      </c>
      <c r="Q10" s="8" t="s">
        <v>43</v>
      </c>
      <c r="R10" s="10" t="s">
        <v>70</v>
      </c>
      <c r="S10" s="11" t="s">
        <v>71</v>
      </c>
      <c r="T10" s="6"/>
      <c r="U10" s="27" t="str">
        <f>HYPERLINK("https://media.infra-m.ru/2083/2083315/cover/2083315.jpg", "Обложка")</f>
        <v>Обложка</v>
      </c>
      <c r="V10" s="27" t="str">
        <f>HYPERLINK("https://znanium.com/catalog/product/2083315", "Ознакомиться")</f>
        <v>Ознакомиться</v>
      </c>
      <c r="W10" s="8" t="s">
        <v>72</v>
      </c>
      <c r="X10" s="6"/>
      <c r="Y10" s="6"/>
      <c r="Z10" s="6"/>
      <c r="AA10" s="6" t="s">
        <v>73</v>
      </c>
    </row>
    <row r="11" spans="1:27" s="4" customFormat="1" ht="51.95" customHeight="1">
      <c r="A11" s="5">
        <v>0</v>
      </c>
      <c r="B11" s="6" t="s">
        <v>74</v>
      </c>
      <c r="C11" s="13">
        <v>1040</v>
      </c>
      <c r="D11" s="8" t="s">
        <v>75</v>
      </c>
      <c r="E11" s="8" t="s">
        <v>76</v>
      </c>
      <c r="F11" s="8" t="s">
        <v>77</v>
      </c>
      <c r="G11" s="6" t="s">
        <v>52</v>
      </c>
      <c r="H11" s="6" t="s">
        <v>53</v>
      </c>
      <c r="I11" s="8" t="s">
        <v>78</v>
      </c>
      <c r="J11" s="9">
        <v>1</v>
      </c>
      <c r="K11" s="9">
        <v>224</v>
      </c>
      <c r="L11" s="9">
        <v>2024</v>
      </c>
      <c r="M11" s="8" t="s">
        <v>79</v>
      </c>
      <c r="N11" s="8" t="s">
        <v>56</v>
      </c>
      <c r="O11" s="8" t="s">
        <v>57</v>
      </c>
      <c r="P11" s="6" t="s">
        <v>80</v>
      </c>
      <c r="Q11" s="8" t="s">
        <v>81</v>
      </c>
      <c r="R11" s="10" t="s">
        <v>82</v>
      </c>
      <c r="S11" s="11"/>
      <c r="T11" s="6"/>
      <c r="U11" s="27" t="str">
        <f>HYPERLINK("https://media.infra-m.ru/1899/1899837/cover/1899837.jpg", "Обложка")</f>
        <v>Обложка</v>
      </c>
      <c r="V11" s="27" t="str">
        <f>HYPERLINK("https://znanium.com/catalog/product/1899837", "Ознакомиться")</f>
        <v>Ознакомиться</v>
      </c>
      <c r="W11" s="8" t="s">
        <v>83</v>
      </c>
      <c r="X11" s="6"/>
      <c r="Y11" s="6"/>
      <c r="Z11" s="6"/>
      <c r="AA11" s="6" t="s">
        <v>84</v>
      </c>
    </row>
    <row r="12" spans="1:27" s="4" customFormat="1" ht="51.95" customHeight="1">
      <c r="A12" s="5">
        <v>0</v>
      </c>
      <c r="B12" s="6" t="s">
        <v>85</v>
      </c>
      <c r="C12" s="13">
        <v>1590</v>
      </c>
      <c r="D12" s="8" t="s">
        <v>86</v>
      </c>
      <c r="E12" s="8" t="s">
        <v>87</v>
      </c>
      <c r="F12" s="8" t="s">
        <v>88</v>
      </c>
      <c r="G12" s="6" t="s">
        <v>37</v>
      </c>
      <c r="H12" s="6" t="s">
        <v>53</v>
      </c>
      <c r="I12" s="8" t="s">
        <v>54</v>
      </c>
      <c r="J12" s="9">
        <v>1</v>
      </c>
      <c r="K12" s="9">
        <v>339</v>
      </c>
      <c r="L12" s="9">
        <v>2023</v>
      </c>
      <c r="M12" s="8" t="s">
        <v>89</v>
      </c>
      <c r="N12" s="8" t="s">
        <v>56</v>
      </c>
      <c r="O12" s="8" t="s">
        <v>57</v>
      </c>
      <c r="P12" s="6" t="s">
        <v>69</v>
      </c>
      <c r="Q12" s="8" t="s">
        <v>43</v>
      </c>
      <c r="R12" s="10" t="s">
        <v>90</v>
      </c>
      <c r="S12" s="11"/>
      <c r="T12" s="6"/>
      <c r="U12" s="27" t="str">
        <f>HYPERLINK("https://media.infra-m.ru/1859/1859087/cover/1859087.jpg", "Обложка")</f>
        <v>Обложка</v>
      </c>
      <c r="V12" s="27" t="str">
        <f>HYPERLINK("https://znanium.com/catalog/product/1859087", "Ознакомиться")</f>
        <v>Ознакомиться</v>
      </c>
      <c r="W12" s="8" t="s">
        <v>91</v>
      </c>
      <c r="X12" s="6" t="s">
        <v>92</v>
      </c>
      <c r="Y12" s="6"/>
      <c r="Z12" s="6"/>
      <c r="AA12" s="6" t="s">
        <v>93</v>
      </c>
    </row>
    <row r="13" spans="1:27" s="4" customFormat="1" ht="42" customHeight="1">
      <c r="A13" s="5">
        <v>0</v>
      </c>
      <c r="B13" s="6" t="s">
        <v>94</v>
      </c>
      <c r="C13" s="13">
        <v>1688.5</v>
      </c>
      <c r="D13" s="8" t="s">
        <v>95</v>
      </c>
      <c r="E13" s="8" t="s">
        <v>96</v>
      </c>
      <c r="F13" s="8" t="s">
        <v>97</v>
      </c>
      <c r="G13" s="6" t="s">
        <v>52</v>
      </c>
      <c r="H13" s="6" t="s">
        <v>98</v>
      </c>
      <c r="I13" s="8"/>
      <c r="J13" s="9">
        <v>1</v>
      </c>
      <c r="K13" s="9">
        <v>174</v>
      </c>
      <c r="L13" s="9">
        <v>2017</v>
      </c>
      <c r="M13" s="8"/>
      <c r="N13" s="8" t="s">
        <v>56</v>
      </c>
      <c r="O13" s="8" t="s">
        <v>57</v>
      </c>
      <c r="P13" s="6" t="s">
        <v>99</v>
      </c>
      <c r="Q13" s="8" t="s">
        <v>81</v>
      </c>
      <c r="R13" s="10"/>
      <c r="S13" s="11"/>
      <c r="T13" s="6"/>
      <c r="U13" s="27" t="str">
        <f>HYPERLINK("https://media.infra-m.ru/0882/0882728/cover/882728.jpg", "Обложка")</f>
        <v>Обложка</v>
      </c>
      <c r="V13" s="27" t="str">
        <f>HYPERLINK("https://znanium.com/catalog/product/882728", "Ознакомиться")</f>
        <v>Ознакомиться</v>
      </c>
      <c r="W13" s="8"/>
      <c r="X13" s="6"/>
      <c r="Y13" s="6"/>
      <c r="Z13" s="6"/>
      <c r="AA13" s="6"/>
    </row>
    <row r="14" spans="1:27" s="4" customFormat="1" ht="51.95" customHeight="1">
      <c r="A14" s="5">
        <v>0</v>
      </c>
      <c r="B14" s="6" t="s">
        <v>100</v>
      </c>
      <c r="C14" s="7">
        <v>994.9</v>
      </c>
      <c r="D14" s="8" t="s">
        <v>101</v>
      </c>
      <c r="E14" s="8" t="s">
        <v>102</v>
      </c>
      <c r="F14" s="8" t="s">
        <v>103</v>
      </c>
      <c r="G14" s="6" t="s">
        <v>37</v>
      </c>
      <c r="H14" s="6" t="s">
        <v>104</v>
      </c>
      <c r="I14" s="8" t="s">
        <v>105</v>
      </c>
      <c r="J14" s="9">
        <v>1</v>
      </c>
      <c r="K14" s="9">
        <v>224</v>
      </c>
      <c r="L14" s="9">
        <v>2023</v>
      </c>
      <c r="M14" s="8" t="s">
        <v>106</v>
      </c>
      <c r="N14" s="8" t="s">
        <v>56</v>
      </c>
      <c r="O14" s="8" t="s">
        <v>57</v>
      </c>
      <c r="P14" s="6" t="s">
        <v>42</v>
      </c>
      <c r="Q14" s="8" t="s">
        <v>43</v>
      </c>
      <c r="R14" s="10" t="s">
        <v>107</v>
      </c>
      <c r="S14" s="11" t="s">
        <v>108</v>
      </c>
      <c r="T14" s="6"/>
      <c r="U14" s="27" t="str">
        <f>HYPERLINK("https://media.infra-m.ru/1981/1981593/cover/1981593.jpg", "Обложка")</f>
        <v>Обложка</v>
      </c>
      <c r="V14" s="27" t="str">
        <f>HYPERLINK("https://znanium.com/catalog/product/1015089", "Ознакомиться")</f>
        <v>Ознакомиться</v>
      </c>
      <c r="W14" s="8" t="s">
        <v>109</v>
      </c>
      <c r="X14" s="6"/>
      <c r="Y14" s="6"/>
      <c r="Z14" s="6"/>
      <c r="AA14" s="6" t="s">
        <v>84</v>
      </c>
    </row>
    <row r="15" spans="1:27" s="4" customFormat="1" ht="51.95" customHeight="1">
      <c r="A15" s="5">
        <v>0</v>
      </c>
      <c r="B15" s="6" t="s">
        <v>110</v>
      </c>
      <c r="C15" s="7">
        <v>560</v>
      </c>
      <c r="D15" s="8" t="s">
        <v>111</v>
      </c>
      <c r="E15" s="8" t="s">
        <v>112</v>
      </c>
      <c r="F15" s="8" t="s">
        <v>113</v>
      </c>
      <c r="G15" s="6" t="s">
        <v>52</v>
      </c>
      <c r="H15" s="6" t="s">
        <v>53</v>
      </c>
      <c r="I15" s="8" t="s">
        <v>114</v>
      </c>
      <c r="J15" s="9">
        <v>1</v>
      </c>
      <c r="K15" s="9">
        <v>124</v>
      </c>
      <c r="L15" s="9">
        <v>2023</v>
      </c>
      <c r="M15" s="8" t="s">
        <v>115</v>
      </c>
      <c r="N15" s="8" t="s">
        <v>56</v>
      </c>
      <c r="O15" s="8" t="s">
        <v>57</v>
      </c>
      <c r="P15" s="6" t="s">
        <v>116</v>
      </c>
      <c r="Q15" s="8" t="s">
        <v>81</v>
      </c>
      <c r="R15" s="10" t="s">
        <v>117</v>
      </c>
      <c r="S15" s="11"/>
      <c r="T15" s="6"/>
      <c r="U15" s="27" t="str">
        <f>HYPERLINK("https://media.infra-m.ru/1971/1971842/cover/1971842.jpg", "Обложка")</f>
        <v>Обложка</v>
      </c>
      <c r="V15" s="27" t="str">
        <f>HYPERLINK("https://znanium.com/catalog/product/1971842", "Ознакомиться")</f>
        <v>Ознакомиться</v>
      </c>
      <c r="W15" s="8" t="s">
        <v>118</v>
      </c>
      <c r="X15" s="6"/>
      <c r="Y15" s="6"/>
      <c r="Z15" s="6"/>
      <c r="AA15" s="6" t="s">
        <v>47</v>
      </c>
    </row>
    <row r="16" spans="1:27" s="4" customFormat="1" ht="51.95" customHeight="1">
      <c r="A16" s="5">
        <v>0</v>
      </c>
      <c r="B16" s="6" t="s">
        <v>119</v>
      </c>
      <c r="C16" s="7">
        <v>900</v>
      </c>
      <c r="D16" s="8" t="s">
        <v>120</v>
      </c>
      <c r="E16" s="8" t="s">
        <v>121</v>
      </c>
      <c r="F16" s="8" t="s">
        <v>122</v>
      </c>
      <c r="G16" s="6" t="s">
        <v>52</v>
      </c>
      <c r="H16" s="6" t="s">
        <v>53</v>
      </c>
      <c r="I16" s="8" t="s">
        <v>114</v>
      </c>
      <c r="J16" s="9">
        <v>1</v>
      </c>
      <c r="K16" s="9">
        <v>200</v>
      </c>
      <c r="L16" s="9">
        <v>2024</v>
      </c>
      <c r="M16" s="8" t="s">
        <v>123</v>
      </c>
      <c r="N16" s="8" t="s">
        <v>56</v>
      </c>
      <c r="O16" s="8" t="s">
        <v>57</v>
      </c>
      <c r="P16" s="6" t="s">
        <v>116</v>
      </c>
      <c r="Q16" s="8" t="s">
        <v>81</v>
      </c>
      <c r="R16" s="10" t="s">
        <v>124</v>
      </c>
      <c r="S16" s="11"/>
      <c r="T16" s="6"/>
      <c r="U16" s="27" t="str">
        <f>HYPERLINK("https://media.infra-m.ru/2037/2037422/cover/2037422.jpg", "Обложка")</f>
        <v>Обложка</v>
      </c>
      <c r="V16" s="27" t="str">
        <f>HYPERLINK("https://znanium.com/catalog/product/2037422", "Ознакомиться")</f>
        <v>Ознакомиться</v>
      </c>
      <c r="W16" s="8" t="s">
        <v>125</v>
      </c>
      <c r="X16" s="6"/>
      <c r="Y16" s="6"/>
      <c r="Z16" s="6"/>
      <c r="AA16" s="6" t="s">
        <v>84</v>
      </c>
    </row>
    <row r="17" spans="1:27" s="4" customFormat="1" ht="51.95" customHeight="1">
      <c r="A17" s="5">
        <v>0</v>
      </c>
      <c r="B17" s="6" t="s">
        <v>126</v>
      </c>
      <c r="C17" s="13">
        <v>1920</v>
      </c>
      <c r="D17" s="8" t="s">
        <v>127</v>
      </c>
      <c r="E17" s="8" t="s">
        <v>128</v>
      </c>
      <c r="F17" s="8" t="s">
        <v>129</v>
      </c>
      <c r="G17" s="6" t="s">
        <v>37</v>
      </c>
      <c r="H17" s="6" t="s">
        <v>53</v>
      </c>
      <c r="I17" s="8" t="s">
        <v>130</v>
      </c>
      <c r="J17" s="9">
        <v>1</v>
      </c>
      <c r="K17" s="9">
        <v>416</v>
      </c>
      <c r="L17" s="9">
        <v>2024</v>
      </c>
      <c r="M17" s="8" t="s">
        <v>131</v>
      </c>
      <c r="N17" s="8" t="s">
        <v>56</v>
      </c>
      <c r="O17" s="8" t="s">
        <v>57</v>
      </c>
      <c r="P17" s="6" t="s">
        <v>69</v>
      </c>
      <c r="Q17" s="8" t="s">
        <v>81</v>
      </c>
      <c r="R17" s="10" t="s">
        <v>132</v>
      </c>
      <c r="S17" s="11" t="s">
        <v>133</v>
      </c>
      <c r="T17" s="6"/>
      <c r="U17" s="27" t="str">
        <f>HYPERLINK("https://media.infra-m.ru/2056/2056631/cover/2056631.jpg", "Обложка")</f>
        <v>Обложка</v>
      </c>
      <c r="V17" s="27" t="str">
        <f>HYPERLINK("https://znanium.com/catalog/product/2056631", "Ознакомиться")</f>
        <v>Ознакомиться</v>
      </c>
      <c r="W17" s="8" t="s">
        <v>134</v>
      </c>
      <c r="X17" s="6"/>
      <c r="Y17" s="6"/>
      <c r="Z17" s="6"/>
      <c r="AA17" s="6" t="s">
        <v>135</v>
      </c>
    </row>
    <row r="18" spans="1:27" s="4" customFormat="1" ht="51.95" customHeight="1">
      <c r="A18" s="5">
        <v>0</v>
      </c>
      <c r="B18" s="6" t="s">
        <v>136</v>
      </c>
      <c r="C18" s="7">
        <v>714</v>
      </c>
      <c r="D18" s="8" t="s">
        <v>137</v>
      </c>
      <c r="E18" s="8" t="s">
        <v>138</v>
      </c>
      <c r="F18" s="8" t="s">
        <v>139</v>
      </c>
      <c r="G18" s="6" t="s">
        <v>52</v>
      </c>
      <c r="H18" s="6" t="s">
        <v>53</v>
      </c>
      <c r="I18" s="8" t="s">
        <v>114</v>
      </c>
      <c r="J18" s="9">
        <v>1</v>
      </c>
      <c r="K18" s="9">
        <v>154</v>
      </c>
      <c r="L18" s="9">
        <v>2024</v>
      </c>
      <c r="M18" s="8" t="s">
        <v>140</v>
      </c>
      <c r="N18" s="8" t="s">
        <v>56</v>
      </c>
      <c r="O18" s="8" t="s">
        <v>57</v>
      </c>
      <c r="P18" s="6" t="s">
        <v>116</v>
      </c>
      <c r="Q18" s="8" t="s">
        <v>81</v>
      </c>
      <c r="R18" s="10" t="s">
        <v>141</v>
      </c>
      <c r="S18" s="11"/>
      <c r="T18" s="6"/>
      <c r="U18" s="27" t="str">
        <f>HYPERLINK("https://media.infra-m.ru/2083/2083440/cover/2083440.jpg", "Обложка")</f>
        <v>Обложка</v>
      </c>
      <c r="V18" s="27" t="str">
        <f>HYPERLINK("https://znanium.com/catalog/product/1893662", "Ознакомиться")</f>
        <v>Ознакомиться</v>
      </c>
      <c r="W18" s="8" t="s">
        <v>142</v>
      </c>
      <c r="X18" s="6"/>
      <c r="Y18" s="6"/>
      <c r="Z18" s="6"/>
      <c r="AA18" s="6" t="s">
        <v>143</v>
      </c>
    </row>
    <row r="19" spans="1:27" s="4" customFormat="1" ht="51.95" customHeight="1">
      <c r="A19" s="5">
        <v>0</v>
      </c>
      <c r="B19" s="6" t="s">
        <v>144</v>
      </c>
      <c r="C19" s="13">
        <v>1040</v>
      </c>
      <c r="D19" s="8" t="s">
        <v>145</v>
      </c>
      <c r="E19" s="8" t="s">
        <v>146</v>
      </c>
      <c r="F19" s="8" t="s">
        <v>147</v>
      </c>
      <c r="G19" s="6" t="s">
        <v>67</v>
      </c>
      <c r="H19" s="6" t="s">
        <v>53</v>
      </c>
      <c r="I19" s="8" t="s">
        <v>148</v>
      </c>
      <c r="J19" s="9">
        <v>1</v>
      </c>
      <c r="K19" s="9">
        <v>226</v>
      </c>
      <c r="L19" s="9">
        <v>2024</v>
      </c>
      <c r="M19" s="8" t="s">
        <v>149</v>
      </c>
      <c r="N19" s="8" t="s">
        <v>56</v>
      </c>
      <c r="O19" s="8" t="s">
        <v>57</v>
      </c>
      <c r="P19" s="6" t="s">
        <v>42</v>
      </c>
      <c r="Q19" s="8" t="s">
        <v>150</v>
      </c>
      <c r="R19" s="10" t="s">
        <v>151</v>
      </c>
      <c r="S19" s="11" t="s">
        <v>152</v>
      </c>
      <c r="T19" s="6"/>
      <c r="U19" s="27" t="str">
        <f>HYPERLINK("https://media.infra-m.ru/2052/2052366/cover/2052366.jpg", "Обложка")</f>
        <v>Обложка</v>
      </c>
      <c r="V19" s="27" t="str">
        <f>HYPERLINK("https://znanium.com/catalog/product/2052366", "Ознакомиться")</f>
        <v>Ознакомиться</v>
      </c>
      <c r="W19" s="8" t="s">
        <v>153</v>
      </c>
      <c r="X19" s="6"/>
      <c r="Y19" s="6"/>
      <c r="Z19" s="6"/>
      <c r="AA19" s="6" t="s">
        <v>73</v>
      </c>
    </row>
    <row r="20" spans="1:27" s="4" customFormat="1" ht="51.95" customHeight="1">
      <c r="A20" s="5">
        <v>0</v>
      </c>
      <c r="B20" s="6" t="s">
        <v>154</v>
      </c>
      <c r="C20" s="7">
        <v>884</v>
      </c>
      <c r="D20" s="8" t="s">
        <v>155</v>
      </c>
      <c r="E20" s="8" t="s">
        <v>156</v>
      </c>
      <c r="F20" s="8" t="s">
        <v>157</v>
      </c>
      <c r="G20" s="6" t="s">
        <v>67</v>
      </c>
      <c r="H20" s="6" t="s">
        <v>53</v>
      </c>
      <c r="I20" s="8" t="s">
        <v>148</v>
      </c>
      <c r="J20" s="9">
        <v>1</v>
      </c>
      <c r="K20" s="9">
        <v>191</v>
      </c>
      <c r="L20" s="9">
        <v>2024</v>
      </c>
      <c r="M20" s="8" t="s">
        <v>158</v>
      </c>
      <c r="N20" s="8" t="s">
        <v>56</v>
      </c>
      <c r="O20" s="8" t="s">
        <v>57</v>
      </c>
      <c r="P20" s="6" t="s">
        <v>42</v>
      </c>
      <c r="Q20" s="8" t="s">
        <v>150</v>
      </c>
      <c r="R20" s="10" t="s">
        <v>159</v>
      </c>
      <c r="S20" s="11" t="s">
        <v>160</v>
      </c>
      <c r="T20" s="6"/>
      <c r="U20" s="27" t="str">
        <f>HYPERLINK("https://media.infra-m.ru/2084/2084384/cover/2084384.jpg", "Обложка")</f>
        <v>Обложка</v>
      </c>
      <c r="V20" s="27" t="str">
        <f>HYPERLINK("https://znanium.com/catalog/product/1903466", "Ознакомиться")</f>
        <v>Ознакомиться</v>
      </c>
      <c r="W20" s="8" t="s">
        <v>153</v>
      </c>
      <c r="X20" s="6"/>
      <c r="Y20" s="6"/>
      <c r="Z20" s="6"/>
      <c r="AA20" s="6" t="s">
        <v>73</v>
      </c>
    </row>
    <row r="21" spans="1:27" s="4" customFormat="1" ht="51.95" customHeight="1">
      <c r="A21" s="5">
        <v>0</v>
      </c>
      <c r="B21" s="6" t="s">
        <v>161</v>
      </c>
      <c r="C21" s="7">
        <v>724</v>
      </c>
      <c r="D21" s="8" t="s">
        <v>162</v>
      </c>
      <c r="E21" s="8" t="s">
        <v>163</v>
      </c>
      <c r="F21" s="8" t="s">
        <v>164</v>
      </c>
      <c r="G21" s="6" t="s">
        <v>52</v>
      </c>
      <c r="H21" s="6" t="s">
        <v>53</v>
      </c>
      <c r="I21" s="8" t="s">
        <v>165</v>
      </c>
      <c r="J21" s="9">
        <v>1</v>
      </c>
      <c r="K21" s="9">
        <v>159</v>
      </c>
      <c r="L21" s="9">
        <v>2023</v>
      </c>
      <c r="M21" s="8" t="s">
        <v>166</v>
      </c>
      <c r="N21" s="8" t="s">
        <v>56</v>
      </c>
      <c r="O21" s="8" t="s">
        <v>57</v>
      </c>
      <c r="P21" s="6" t="s">
        <v>42</v>
      </c>
      <c r="Q21" s="8" t="s">
        <v>43</v>
      </c>
      <c r="R21" s="10" t="s">
        <v>167</v>
      </c>
      <c r="S21" s="11" t="s">
        <v>168</v>
      </c>
      <c r="T21" s="6"/>
      <c r="U21" s="27" t="str">
        <f>HYPERLINK("https://media.infra-m.ru/1865/1865643/cover/1865643.jpg", "Обложка")</f>
        <v>Обложка</v>
      </c>
      <c r="V21" s="27" t="str">
        <f>HYPERLINK("https://znanium.com/catalog/product/1497868", "Ознакомиться")</f>
        <v>Ознакомиться</v>
      </c>
      <c r="W21" s="8" t="s">
        <v>169</v>
      </c>
      <c r="X21" s="6"/>
      <c r="Y21" s="6"/>
      <c r="Z21" s="6"/>
      <c r="AA21" s="6" t="s">
        <v>47</v>
      </c>
    </row>
    <row r="22" spans="1:27" s="4" customFormat="1" ht="51.95" customHeight="1">
      <c r="A22" s="5">
        <v>0</v>
      </c>
      <c r="B22" s="6" t="s">
        <v>170</v>
      </c>
      <c r="C22" s="13">
        <v>1050</v>
      </c>
      <c r="D22" s="8" t="s">
        <v>171</v>
      </c>
      <c r="E22" s="8" t="s">
        <v>172</v>
      </c>
      <c r="F22" s="8" t="s">
        <v>173</v>
      </c>
      <c r="G22" s="6" t="s">
        <v>37</v>
      </c>
      <c r="H22" s="6" t="s">
        <v>53</v>
      </c>
      <c r="I22" s="8" t="s">
        <v>174</v>
      </c>
      <c r="J22" s="9">
        <v>1</v>
      </c>
      <c r="K22" s="9">
        <v>220</v>
      </c>
      <c r="L22" s="9">
        <v>2023</v>
      </c>
      <c r="M22" s="8" t="s">
        <v>175</v>
      </c>
      <c r="N22" s="8" t="s">
        <v>56</v>
      </c>
      <c r="O22" s="8" t="s">
        <v>57</v>
      </c>
      <c r="P22" s="6" t="s">
        <v>69</v>
      </c>
      <c r="Q22" s="8" t="s">
        <v>150</v>
      </c>
      <c r="R22" s="10" t="s">
        <v>176</v>
      </c>
      <c r="S22" s="11" t="s">
        <v>177</v>
      </c>
      <c r="T22" s="6"/>
      <c r="U22" s="27" t="str">
        <f>HYPERLINK("https://media.infra-m.ru/1371/1371622/cover/1371622.jpg", "Обложка")</f>
        <v>Обложка</v>
      </c>
      <c r="V22" s="27" t="str">
        <f>HYPERLINK("https://znanium.com/catalog/product/1371622", "Ознакомиться")</f>
        <v>Ознакомиться</v>
      </c>
      <c r="W22" s="8" t="s">
        <v>46</v>
      </c>
      <c r="X22" s="6" t="s">
        <v>178</v>
      </c>
      <c r="Y22" s="6"/>
      <c r="Z22" s="6"/>
      <c r="AA22" s="6" t="s">
        <v>93</v>
      </c>
    </row>
    <row r="23" spans="1:27" s="4" customFormat="1" ht="51.95" customHeight="1">
      <c r="A23" s="5">
        <v>0</v>
      </c>
      <c r="B23" s="6" t="s">
        <v>179</v>
      </c>
      <c r="C23" s="13">
        <v>1144</v>
      </c>
      <c r="D23" s="8" t="s">
        <v>180</v>
      </c>
      <c r="E23" s="8" t="s">
        <v>181</v>
      </c>
      <c r="F23" s="8" t="s">
        <v>182</v>
      </c>
      <c r="G23" s="6" t="s">
        <v>67</v>
      </c>
      <c r="H23" s="6" t="s">
        <v>53</v>
      </c>
      <c r="I23" s="8" t="s">
        <v>165</v>
      </c>
      <c r="J23" s="9">
        <v>1</v>
      </c>
      <c r="K23" s="9">
        <v>248</v>
      </c>
      <c r="L23" s="9">
        <v>2024</v>
      </c>
      <c r="M23" s="8" t="s">
        <v>183</v>
      </c>
      <c r="N23" s="8" t="s">
        <v>56</v>
      </c>
      <c r="O23" s="8" t="s">
        <v>57</v>
      </c>
      <c r="P23" s="6" t="s">
        <v>42</v>
      </c>
      <c r="Q23" s="8" t="s">
        <v>43</v>
      </c>
      <c r="R23" s="10" t="s">
        <v>184</v>
      </c>
      <c r="S23" s="11" t="s">
        <v>185</v>
      </c>
      <c r="T23" s="6"/>
      <c r="U23" s="27" t="str">
        <f>HYPERLINK("https://media.infra-m.ru/2056/2056657/cover/2056657.jpg", "Обложка")</f>
        <v>Обложка</v>
      </c>
      <c r="V23" s="27" t="str">
        <f>HYPERLINK("https://znanium.com/catalog/product/1937180", "Ознакомиться")</f>
        <v>Ознакомиться</v>
      </c>
      <c r="W23" s="8" t="s">
        <v>118</v>
      </c>
      <c r="X23" s="6"/>
      <c r="Y23" s="6"/>
      <c r="Z23" s="6"/>
      <c r="AA23" s="6" t="s">
        <v>186</v>
      </c>
    </row>
    <row r="24" spans="1:27" s="4" customFormat="1" ht="51.95" customHeight="1">
      <c r="A24" s="5">
        <v>0</v>
      </c>
      <c r="B24" s="6" t="s">
        <v>187</v>
      </c>
      <c r="C24" s="7">
        <v>990</v>
      </c>
      <c r="D24" s="8" t="s">
        <v>188</v>
      </c>
      <c r="E24" s="8" t="s">
        <v>189</v>
      </c>
      <c r="F24" s="8" t="s">
        <v>190</v>
      </c>
      <c r="G24" s="6" t="s">
        <v>67</v>
      </c>
      <c r="H24" s="6" t="s">
        <v>53</v>
      </c>
      <c r="I24" s="8" t="s">
        <v>191</v>
      </c>
      <c r="J24" s="9">
        <v>1</v>
      </c>
      <c r="K24" s="9">
        <v>211</v>
      </c>
      <c r="L24" s="9">
        <v>2023</v>
      </c>
      <c r="M24" s="8" t="s">
        <v>192</v>
      </c>
      <c r="N24" s="8" t="s">
        <v>56</v>
      </c>
      <c r="O24" s="8" t="s">
        <v>57</v>
      </c>
      <c r="P24" s="6" t="s">
        <v>69</v>
      </c>
      <c r="Q24" s="8" t="s">
        <v>58</v>
      </c>
      <c r="R24" s="10" t="s">
        <v>193</v>
      </c>
      <c r="S24" s="11" t="s">
        <v>194</v>
      </c>
      <c r="T24" s="6"/>
      <c r="U24" s="27" t="str">
        <f>HYPERLINK("https://media.infra-m.ru/2023/2023960/cover/2023960.jpg", "Обложка")</f>
        <v>Обложка</v>
      </c>
      <c r="V24" s="27" t="str">
        <f>HYPERLINK("https://znanium.com/catalog/product/1839710", "Ознакомиться")</f>
        <v>Ознакомиться</v>
      </c>
      <c r="W24" s="8" t="s">
        <v>46</v>
      </c>
      <c r="X24" s="6"/>
      <c r="Y24" s="6"/>
      <c r="Z24" s="6"/>
      <c r="AA24" s="6" t="s">
        <v>93</v>
      </c>
    </row>
    <row r="25" spans="1:27" s="4" customFormat="1" ht="51.95" customHeight="1">
      <c r="A25" s="5">
        <v>0</v>
      </c>
      <c r="B25" s="6" t="s">
        <v>195</v>
      </c>
      <c r="C25" s="7">
        <v>680</v>
      </c>
      <c r="D25" s="8" t="s">
        <v>196</v>
      </c>
      <c r="E25" s="8" t="s">
        <v>197</v>
      </c>
      <c r="F25" s="8" t="s">
        <v>198</v>
      </c>
      <c r="G25" s="6" t="s">
        <v>52</v>
      </c>
      <c r="H25" s="6" t="s">
        <v>38</v>
      </c>
      <c r="I25" s="8" t="s">
        <v>38</v>
      </c>
      <c r="J25" s="9">
        <v>1</v>
      </c>
      <c r="K25" s="9">
        <v>136</v>
      </c>
      <c r="L25" s="9">
        <v>2024</v>
      </c>
      <c r="M25" s="8" t="s">
        <v>199</v>
      </c>
      <c r="N25" s="8" t="s">
        <v>56</v>
      </c>
      <c r="O25" s="8" t="s">
        <v>57</v>
      </c>
      <c r="P25" s="6" t="s">
        <v>42</v>
      </c>
      <c r="Q25" s="8" t="s">
        <v>43</v>
      </c>
      <c r="R25" s="10" t="s">
        <v>200</v>
      </c>
      <c r="S25" s="11"/>
      <c r="T25" s="6"/>
      <c r="U25" s="27" t="str">
        <f>HYPERLINK("https://media.infra-m.ru/2052/2052368/cover/2052368.jpg", "Обложка")</f>
        <v>Обложка</v>
      </c>
      <c r="V25" s="27" t="str">
        <f>HYPERLINK("https://znanium.com/catalog/product/2052368", "Ознакомиться")</f>
        <v>Ознакомиться</v>
      </c>
      <c r="W25" s="8" t="s">
        <v>46</v>
      </c>
      <c r="X25" s="6"/>
      <c r="Y25" s="6"/>
      <c r="Z25" s="6"/>
      <c r="AA25" s="6" t="s">
        <v>201</v>
      </c>
    </row>
    <row r="26" spans="1:27" s="4" customFormat="1" ht="51.95" customHeight="1">
      <c r="A26" s="5">
        <v>0</v>
      </c>
      <c r="B26" s="6" t="s">
        <v>202</v>
      </c>
      <c r="C26" s="7">
        <v>580</v>
      </c>
      <c r="D26" s="8" t="s">
        <v>203</v>
      </c>
      <c r="E26" s="8" t="s">
        <v>204</v>
      </c>
      <c r="F26" s="8" t="s">
        <v>205</v>
      </c>
      <c r="G26" s="6" t="s">
        <v>52</v>
      </c>
      <c r="H26" s="6" t="s">
        <v>53</v>
      </c>
      <c r="I26" s="8" t="s">
        <v>114</v>
      </c>
      <c r="J26" s="9">
        <v>1</v>
      </c>
      <c r="K26" s="9">
        <v>186</v>
      </c>
      <c r="L26" s="9">
        <v>2018</v>
      </c>
      <c r="M26" s="8" t="s">
        <v>206</v>
      </c>
      <c r="N26" s="8" t="s">
        <v>56</v>
      </c>
      <c r="O26" s="8" t="s">
        <v>57</v>
      </c>
      <c r="P26" s="6" t="s">
        <v>116</v>
      </c>
      <c r="Q26" s="8" t="s">
        <v>81</v>
      </c>
      <c r="R26" s="10" t="s">
        <v>207</v>
      </c>
      <c r="S26" s="11"/>
      <c r="T26" s="6"/>
      <c r="U26" s="27" t="str">
        <f>HYPERLINK("https://media.infra-m.ru/0920/0920363/cover/920363.jpg", "Обложка")</f>
        <v>Обложка</v>
      </c>
      <c r="V26" s="27" t="str">
        <f>HYPERLINK("https://znanium.com/catalog/product/1854744", "Ознакомиться")</f>
        <v>Ознакомиться</v>
      </c>
      <c r="W26" s="8" t="s">
        <v>46</v>
      </c>
      <c r="X26" s="6"/>
      <c r="Y26" s="6"/>
      <c r="Z26" s="6"/>
      <c r="AA26" s="6" t="s">
        <v>208</v>
      </c>
    </row>
    <row r="27" spans="1:27" s="4" customFormat="1" ht="51.95" customHeight="1">
      <c r="A27" s="5">
        <v>0</v>
      </c>
      <c r="B27" s="6" t="s">
        <v>209</v>
      </c>
      <c r="C27" s="13">
        <v>1090</v>
      </c>
      <c r="D27" s="8" t="s">
        <v>210</v>
      </c>
      <c r="E27" s="8" t="s">
        <v>211</v>
      </c>
      <c r="F27" s="8" t="s">
        <v>212</v>
      </c>
      <c r="G27" s="6" t="s">
        <v>67</v>
      </c>
      <c r="H27" s="6" t="s">
        <v>53</v>
      </c>
      <c r="I27" s="8" t="s">
        <v>165</v>
      </c>
      <c r="J27" s="9">
        <v>1</v>
      </c>
      <c r="K27" s="9">
        <v>240</v>
      </c>
      <c r="L27" s="9">
        <v>2023</v>
      </c>
      <c r="M27" s="8" t="s">
        <v>213</v>
      </c>
      <c r="N27" s="8" t="s">
        <v>56</v>
      </c>
      <c r="O27" s="8" t="s">
        <v>57</v>
      </c>
      <c r="P27" s="6" t="s">
        <v>42</v>
      </c>
      <c r="Q27" s="8" t="s">
        <v>43</v>
      </c>
      <c r="R27" s="10" t="s">
        <v>214</v>
      </c>
      <c r="S27" s="11" t="s">
        <v>215</v>
      </c>
      <c r="T27" s="6"/>
      <c r="U27" s="27" t="str">
        <f>HYPERLINK("https://media.infra-m.ru/1941/1941778/cover/1941778.jpg", "Обложка")</f>
        <v>Обложка</v>
      </c>
      <c r="V27" s="27" t="str">
        <f>HYPERLINK("https://znanium.com/catalog/product/1941778", "Ознакомиться")</f>
        <v>Ознакомиться</v>
      </c>
      <c r="W27" s="8" t="s">
        <v>216</v>
      </c>
      <c r="X27" s="6"/>
      <c r="Y27" s="6"/>
      <c r="Z27" s="6"/>
      <c r="AA27" s="6" t="s">
        <v>84</v>
      </c>
    </row>
    <row r="28" spans="1:27" s="4" customFormat="1" ht="51.95" customHeight="1">
      <c r="A28" s="5">
        <v>0</v>
      </c>
      <c r="B28" s="6" t="s">
        <v>217</v>
      </c>
      <c r="C28" s="7">
        <v>920</v>
      </c>
      <c r="D28" s="8" t="s">
        <v>218</v>
      </c>
      <c r="E28" s="8" t="s">
        <v>219</v>
      </c>
      <c r="F28" s="8" t="s">
        <v>212</v>
      </c>
      <c r="G28" s="6" t="s">
        <v>67</v>
      </c>
      <c r="H28" s="6" t="s">
        <v>53</v>
      </c>
      <c r="I28" s="8" t="s">
        <v>220</v>
      </c>
      <c r="J28" s="9">
        <v>1</v>
      </c>
      <c r="K28" s="9">
        <v>240</v>
      </c>
      <c r="L28" s="9">
        <v>2022</v>
      </c>
      <c r="M28" s="8" t="s">
        <v>221</v>
      </c>
      <c r="N28" s="8" t="s">
        <v>56</v>
      </c>
      <c r="O28" s="8" t="s">
        <v>57</v>
      </c>
      <c r="P28" s="6" t="s">
        <v>42</v>
      </c>
      <c r="Q28" s="8" t="s">
        <v>222</v>
      </c>
      <c r="R28" s="10" t="s">
        <v>223</v>
      </c>
      <c r="S28" s="11" t="s">
        <v>224</v>
      </c>
      <c r="T28" s="6"/>
      <c r="U28" s="27" t="str">
        <f>HYPERLINK("https://media.infra-m.ru/1178/1178158/cover/1178158.jpg", "Обложка")</f>
        <v>Обложка</v>
      </c>
      <c r="V28" s="27" t="str">
        <f>HYPERLINK("https://znanium.com/catalog/product/1178158", "Ознакомиться")</f>
        <v>Ознакомиться</v>
      </c>
      <c r="W28" s="8" t="s">
        <v>216</v>
      </c>
      <c r="X28" s="6"/>
      <c r="Y28" s="6"/>
      <c r="Z28" s="6" t="s">
        <v>225</v>
      </c>
      <c r="AA28" s="6" t="s">
        <v>226</v>
      </c>
    </row>
    <row r="29" spans="1:27" s="4" customFormat="1" ht="51.95" customHeight="1">
      <c r="A29" s="5">
        <v>0</v>
      </c>
      <c r="B29" s="6" t="s">
        <v>227</v>
      </c>
      <c r="C29" s="7">
        <v>610</v>
      </c>
      <c r="D29" s="8" t="s">
        <v>228</v>
      </c>
      <c r="E29" s="8" t="s">
        <v>229</v>
      </c>
      <c r="F29" s="8" t="s">
        <v>230</v>
      </c>
      <c r="G29" s="6" t="s">
        <v>52</v>
      </c>
      <c r="H29" s="6" t="s">
        <v>53</v>
      </c>
      <c r="I29" s="8" t="s">
        <v>231</v>
      </c>
      <c r="J29" s="9">
        <v>1</v>
      </c>
      <c r="K29" s="9">
        <v>124</v>
      </c>
      <c r="L29" s="9">
        <v>2024</v>
      </c>
      <c r="M29" s="8" t="s">
        <v>232</v>
      </c>
      <c r="N29" s="8" t="s">
        <v>56</v>
      </c>
      <c r="O29" s="8" t="s">
        <v>57</v>
      </c>
      <c r="P29" s="6" t="s">
        <v>233</v>
      </c>
      <c r="Q29" s="8" t="s">
        <v>81</v>
      </c>
      <c r="R29" s="10" t="s">
        <v>234</v>
      </c>
      <c r="S29" s="11"/>
      <c r="T29" s="6"/>
      <c r="U29" s="27" t="str">
        <f>HYPERLINK("https://media.infra-m.ru/2102/2102671/cover/2102671.jpg", "Обложка")</f>
        <v>Обложка</v>
      </c>
      <c r="V29" s="27" t="str">
        <f>HYPERLINK("https://znanium.com/catalog/product/2102671", "Ознакомиться")</f>
        <v>Ознакомиться</v>
      </c>
      <c r="W29" s="8" t="s">
        <v>72</v>
      </c>
      <c r="X29" s="6"/>
      <c r="Y29" s="6"/>
      <c r="Z29" s="6"/>
      <c r="AA29" s="6" t="s">
        <v>73</v>
      </c>
    </row>
    <row r="30" spans="1:27" s="4" customFormat="1" ht="51.95" customHeight="1">
      <c r="A30" s="5">
        <v>0</v>
      </c>
      <c r="B30" s="6" t="s">
        <v>235</v>
      </c>
      <c r="C30" s="13">
        <v>1274.9000000000001</v>
      </c>
      <c r="D30" s="8" t="s">
        <v>236</v>
      </c>
      <c r="E30" s="8" t="s">
        <v>237</v>
      </c>
      <c r="F30" s="8" t="s">
        <v>238</v>
      </c>
      <c r="G30" s="6" t="s">
        <v>67</v>
      </c>
      <c r="H30" s="6" t="s">
        <v>239</v>
      </c>
      <c r="I30" s="8"/>
      <c r="J30" s="9">
        <v>1</v>
      </c>
      <c r="K30" s="9">
        <v>304</v>
      </c>
      <c r="L30" s="9">
        <v>2023</v>
      </c>
      <c r="M30" s="8" t="s">
        <v>240</v>
      </c>
      <c r="N30" s="8" t="s">
        <v>56</v>
      </c>
      <c r="O30" s="8" t="s">
        <v>57</v>
      </c>
      <c r="P30" s="6" t="s">
        <v>116</v>
      </c>
      <c r="Q30" s="8" t="s">
        <v>81</v>
      </c>
      <c r="R30" s="10" t="s">
        <v>241</v>
      </c>
      <c r="S30" s="11"/>
      <c r="T30" s="6"/>
      <c r="U30" s="27" t="str">
        <f>HYPERLINK("https://media.infra-m.ru/1891/1891817/cover/1891817.jpg", "Обложка")</f>
        <v>Обложка</v>
      </c>
      <c r="V30" s="27" t="str">
        <f>HYPERLINK("https://znanium.com/catalog/product/1020773", "Ознакомиться")</f>
        <v>Ознакомиться</v>
      </c>
      <c r="W30" s="8" t="s">
        <v>46</v>
      </c>
      <c r="X30" s="6"/>
      <c r="Y30" s="6"/>
      <c r="Z30" s="6"/>
      <c r="AA30" s="6" t="s">
        <v>242</v>
      </c>
    </row>
    <row r="31" spans="1:27" s="4" customFormat="1" ht="51.95" customHeight="1">
      <c r="A31" s="5">
        <v>0</v>
      </c>
      <c r="B31" s="6" t="s">
        <v>243</v>
      </c>
      <c r="C31" s="7">
        <v>814.9</v>
      </c>
      <c r="D31" s="8" t="s">
        <v>244</v>
      </c>
      <c r="E31" s="8" t="s">
        <v>245</v>
      </c>
      <c r="F31" s="8" t="s">
        <v>238</v>
      </c>
      <c r="G31" s="6" t="s">
        <v>52</v>
      </c>
      <c r="H31" s="6" t="s">
        <v>239</v>
      </c>
      <c r="I31" s="8"/>
      <c r="J31" s="9">
        <v>1</v>
      </c>
      <c r="K31" s="9">
        <v>240</v>
      </c>
      <c r="L31" s="9">
        <v>2019</v>
      </c>
      <c r="M31" s="8" t="s">
        <v>246</v>
      </c>
      <c r="N31" s="8" t="s">
        <v>56</v>
      </c>
      <c r="O31" s="8" t="s">
        <v>57</v>
      </c>
      <c r="P31" s="6" t="s">
        <v>116</v>
      </c>
      <c r="Q31" s="8" t="s">
        <v>81</v>
      </c>
      <c r="R31" s="10" t="s">
        <v>241</v>
      </c>
      <c r="S31" s="11"/>
      <c r="T31" s="6"/>
      <c r="U31" s="27" t="str">
        <f>HYPERLINK("https://media.infra-m.ru/1015/1015851/cover/1015851.jpg", "Обложка")</f>
        <v>Обложка</v>
      </c>
      <c r="V31" s="27" t="str">
        <f>HYPERLINK("https://znanium.com/catalog/product/1020773", "Ознакомиться")</f>
        <v>Ознакомиться</v>
      </c>
      <c r="W31" s="8" t="s">
        <v>46</v>
      </c>
      <c r="X31" s="6"/>
      <c r="Y31" s="6"/>
      <c r="Z31" s="6"/>
      <c r="AA31" s="6" t="s">
        <v>62</v>
      </c>
    </row>
    <row r="32" spans="1:27" s="4" customFormat="1" ht="42" customHeight="1">
      <c r="A32" s="5">
        <v>0</v>
      </c>
      <c r="B32" s="6" t="s">
        <v>247</v>
      </c>
      <c r="C32" s="7">
        <v>780</v>
      </c>
      <c r="D32" s="8" t="s">
        <v>248</v>
      </c>
      <c r="E32" s="8" t="s">
        <v>249</v>
      </c>
      <c r="F32" s="8" t="s">
        <v>250</v>
      </c>
      <c r="G32" s="6" t="s">
        <v>52</v>
      </c>
      <c r="H32" s="6" t="s">
        <v>53</v>
      </c>
      <c r="I32" s="8" t="s">
        <v>114</v>
      </c>
      <c r="J32" s="9">
        <v>1</v>
      </c>
      <c r="K32" s="9">
        <v>169</v>
      </c>
      <c r="L32" s="9">
        <v>2024</v>
      </c>
      <c r="M32" s="8" t="s">
        <v>251</v>
      </c>
      <c r="N32" s="8" t="s">
        <v>56</v>
      </c>
      <c r="O32" s="8" t="s">
        <v>57</v>
      </c>
      <c r="P32" s="6" t="s">
        <v>116</v>
      </c>
      <c r="Q32" s="8" t="s">
        <v>81</v>
      </c>
      <c r="R32" s="10" t="s">
        <v>252</v>
      </c>
      <c r="S32" s="11"/>
      <c r="T32" s="6"/>
      <c r="U32" s="27" t="str">
        <f>HYPERLINK("https://media.infra-m.ru/2052/2052386/cover/2052386.jpg", "Обложка")</f>
        <v>Обложка</v>
      </c>
      <c r="V32" s="27" t="str">
        <f>HYPERLINK("https://znanium.com/catalog/product/2052386", "Ознакомиться")</f>
        <v>Ознакомиться</v>
      </c>
      <c r="W32" s="8" t="s">
        <v>46</v>
      </c>
      <c r="X32" s="6"/>
      <c r="Y32" s="6"/>
      <c r="Z32" s="6"/>
      <c r="AA32" s="6" t="s">
        <v>253</v>
      </c>
    </row>
    <row r="33" spans="1:27" s="4" customFormat="1" ht="51.95" customHeight="1">
      <c r="A33" s="5">
        <v>0</v>
      </c>
      <c r="B33" s="6" t="s">
        <v>254</v>
      </c>
      <c r="C33" s="7">
        <v>674</v>
      </c>
      <c r="D33" s="8" t="s">
        <v>255</v>
      </c>
      <c r="E33" s="8" t="s">
        <v>256</v>
      </c>
      <c r="F33" s="8" t="s">
        <v>257</v>
      </c>
      <c r="G33" s="6" t="s">
        <v>52</v>
      </c>
      <c r="H33" s="6" t="s">
        <v>53</v>
      </c>
      <c r="I33" s="8" t="s">
        <v>54</v>
      </c>
      <c r="J33" s="9">
        <v>1</v>
      </c>
      <c r="K33" s="9">
        <v>143</v>
      </c>
      <c r="L33" s="9">
        <v>2023</v>
      </c>
      <c r="M33" s="8" t="s">
        <v>258</v>
      </c>
      <c r="N33" s="8" t="s">
        <v>56</v>
      </c>
      <c r="O33" s="8" t="s">
        <v>57</v>
      </c>
      <c r="P33" s="6" t="s">
        <v>69</v>
      </c>
      <c r="Q33" s="8" t="s">
        <v>58</v>
      </c>
      <c r="R33" s="10" t="s">
        <v>259</v>
      </c>
      <c r="S33" s="11" t="s">
        <v>260</v>
      </c>
      <c r="T33" s="6"/>
      <c r="U33" s="27" t="str">
        <f>HYPERLINK("https://media.infra-m.ru/2115/2115737/cover/2115737.jpg", "Обложка")</f>
        <v>Обложка</v>
      </c>
      <c r="V33" s="27" t="str">
        <f>HYPERLINK("https://znanium.com/catalog/product/2115736", "Ознакомиться")</f>
        <v>Ознакомиться</v>
      </c>
      <c r="W33" s="8" t="s">
        <v>261</v>
      </c>
      <c r="X33" s="6"/>
      <c r="Y33" s="6"/>
      <c r="Z33" s="6"/>
      <c r="AA33" s="6" t="s">
        <v>253</v>
      </c>
    </row>
    <row r="34" spans="1:27" s="4" customFormat="1" ht="51.95" customHeight="1">
      <c r="A34" s="5">
        <v>0</v>
      </c>
      <c r="B34" s="6" t="s">
        <v>262</v>
      </c>
      <c r="C34" s="13">
        <v>1160</v>
      </c>
      <c r="D34" s="8" t="s">
        <v>263</v>
      </c>
      <c r="E34" s="8" t="s">
        <v>256</v>
      </c>
      <c r="F34" s="8" t="s">
        <v>264</v>
      </c>
      <c r="G34" s="6" t="s">
        <v>67</v>
      </c>
      <c r="H34" s="6" t="s">
        <v>265</v>
      </c>
      <c r="I34" s="8" t="s">
        <v>54</v>
      </c>
      <c r="J34" s="9">
        <v>1</v>
      </c>
      <c r="K34" s="9">
        <v>256</v>
      </c>
      <c r="L34" s="9">
        <v>2022</v>
      </c>
      <c r="M34" s="8" t="s">
        <v>266</v>
      </c>
      <c r="N34" s="8" t="s">
        <v>56</v>
      </c>
      <c r="O34" s="8" t="s">
        <v>57</v>
      </c>
      <c r="P34" s="6" t="s">
        <v>42</v>
      </c>
      <c r="Q34" s="8" t="s">
        <v>43</v>
      </c>
      <c r="R34" s="10" t="s">
        <v>267</v>
      </c>
      <c r="S34" s="11" t="s">
        <v>268</v>
      </c>
      <c r="T34" s="6"/>
      <c r="U34" s="27" t="str">
        <f>HYPERLINK("https://media.infra-m.ru/1943/1943492/cover/1943492.jpg", "Обложка")</f>
        <v>Обложка</v>
      </c>
      <c r="V34" s="27" t="str">
        <f>HYPERLINK("https://znanium.com/catalog/product/1832368", "Ознакомиться")</f>
        <v>Ознакомиться</v>
      </c>
      <c r="W34" s="8" t="s">
        <v>269</v>
      </c>
      <c r="X34" s="6"/>
      <c r="Y34" s="6"/>
      <c r="Z34" s="6"/>
      <c r="AA34" s="6" t="s">
        <v>135</v>
      </c>
    </row>
    <row r="35" spans="1:27" s="4" customFormat="1" ht="51.95" customHeight="1">
      <c r="A35" s="5">
        <v>0</v>
      </c>
      <c r="B35" s="6" t="s">
        <v>270</v>
      </c>
      <c r="C35" s="13">
        <v>1200</v>
      </c>
      <c r="D35" s="8" t="s">
        <v>271</v>
      </c>
      <c r="E35" s="8" t="s">
        <v>272</v>
      </c>
      <c r="F35" s="8" t="s">
        <v>273</v>
      </c>
      <c r="G35" s="6" t="s">
        <v>67</v>
      </c>
      <c r="H35" s="6" t="s">
        <v>53</v>
      </c>
      <c r="I35" s="8" t="s">
        <v>165</v>
      </c>
      <c r="J35" s="9">
        <v>1</v>
      </c>
      <c r="K35" s="9">
        <v>268</v>
      </c>
      <c r="L35" s="9">
        <v>2019</v>
      </c>
      <c r="M35" s="8" t="s">
        <v>274</v>
      </c>
      <c r="N35" s="8" t="s">
        <v>56</v>
      </c>
      <c r="O35" s="8" t="s">
        <v>57</v>
      </c>
      <c r="P35" s="6" t="s">
        <v>42</v>
      </c>
      <c r="Q35" s="8" t="s">
        <v>43</v>
      </c>
      <c r="R35" s="10" t="s">
        <v>275</v>
      </c>
      <c r="S35" s="11" t="s">
        <v>276</v>
      </c>
      <c r="T35" s="6" t="s">
        <v>277</v>
      </c>
      <c r="U35" s="27" t="str">
        <f>HYPERLINK("https://media.infra-m.ru/1008/1008123/cover/1008123.jpg", "Обложка")</f>
        <v>Обложка</v>
      </c>
      <c r="V35" s="27" t="str">
        <f>HYPERLINK("https://znanium.com/catalog/product/2051467", "Ознакомиться")</f>
        <v>Ознакомиться</v>
      </c>
      <c r="W35" s="8" t="s">
        <v>278</v>
      </c>
      <c r="X35" s="6"/>
      <c r="Y35" s="6"/>
      <c r="Z35" s="6"/>
      <c r="AA35" s="6" t="s">
        <v>279</v>
      </c>
    </row>
    <row r="36" spans="1:27" s="4" customFormat="1" ht="51.95" customHeight="1">
      <c r="A36" s="5">
        <v>0</v>
      </c>
      <c r="B36" s="6" t="s">
        <v>280</v>
      </c>
      <c r="C36" s="13">
        <v>1250</v>
      </c>
      <c r="D36" s="8" t="s">
        <v>281</v>
      </c>
      <c r="E36" s="8" t="s">
        <v>282</v>
      </c>
      <c r="F36" s="8" t="s">
        <v>283</v>
      </c>
      <c r="G36" s="6" t="s">
        <v>67</v>
      </c>
      <c r="H36" s="6" t="s">
        <v>98</v>
      </c>
      <c r="I36" s="8" t="s">
        <v>54</v>
      </c>
      <c r="J36" s="9">
        <v>1</v>
      </c>
      <c r="K36" s="9">
        <v>272</v>
      </c>
      <c r="L36" s="9">
        <v>2023</v>
      </c>
      <c r="M36" s="8" t="s">
        <v>284</v>
      </c>
      <c r="N36" s="8" t="s">
        <v>56</v>
      </c>
      <c r="O36" s="8" t="s">
        <v>57</v>
      </c>
      <c r="P36" s="6" t="s">
        <v>42</v>
      </c>
      <c r="Q36" s="8" t="s">
        <v>58</v>
      </c>
      <c r="R36" s="10" t="s">
        <v>285</v>
      </c>
      <c r="S36" s="11" t="s">
        <v>286</v>
      </c>
      <c r="T36" s="6" t="s">
        <v>277</v>
      </c>
      <c r="U36" s="27" t="str">
        <f>HYPERLINK("https://media.infra-m.ru/2007/2007877/cover/2007877.jpg", "Обложка")</f>
        <v>Обложка</v>
      </c>
      <c r="V36" s="27" t="str">
        <f>HYPERLINK("https://znanium.com/catalog/product/2007877", "Ознакомиться")</f>
        <v>Ознакомиться</v>
      </c>
      <c r="W36" s="8" t="s">
        <v>287</v>
      </c>
      <c r="X36" s="6"/>
      <c r="Y36" s="6"/>
      <c r="Z36" s="6"/>
      <c r="AA36" s="6" t="s">
        <v>288</v>
      </c>
    </row>
    <row r="37" spans="1:27" s="4" customFormat="1" ht="51.95" customHeight="1">
      <c r="A37" s="5">
        <v>0</v>
      </c>
      <c r="B37" s="6" t="s">
        <v>289</v>
      </c>
      <c r="C37" s="13">
        <v>2454</v>
      </c>
      <c r="D37" s="8" t="s">
        <v>290</v>
      </c>
      <c r="E37" s="8" t="s">
        <v>291</v>
      </c>
      <c r="F37" s="8" t="s">
        <v>292</v>
      </c>
      <c r="G37" s="6" t="s">
        <v>37</v>
      </c>
      <c r="H37" s="6" t="s">
        <v>53</v>
      </c>
      <c r="I37" s="8" t="s">
        <v>54</v>
      </c>
      <c r="J37" s="9">
        <v>1</v>
      </c>
      <c r="K37" s="9">
        <v>541</v>
      </c>
      <c r="L37" s="9">
        <v>2022</v>
      </c>
      <c r="M37" s="8" t="s">
        <v>293</v>
      </c>
      <c r="N37" s="8" t="s">
        <v>56</v>
      </c>
      <c r="O37" s="8" t="s">
        <v>57</v>
      </c>
      <c r="P37" s="6" t="s">
        <v>42</v>
      </c>
      <c r="Q37" s="8" t="s">
        <v>43</v>
      </c>
      <c r="R37" s="10" t="s">
        <v>275</v>
      </c>
      <c r="S37" s="11" t="s">
        <v>276</v>
      </c>
      <c r="T37" s="6"/>
      <c r="U37" s="27" t="str">
        <f>HYPERLINK("https://media.infra-m.ru/2083/2083346/cover/2083346.jpg", "Обложка")</f>
        <v>Обложка</v>
      </c>
      <c r="V37" s="27" t="str">
        <f>HYPERLINK("https://znanium.com/catalog/product/2051467", "Ознакомиться")</f>
        <v>Ознакомиться</v>
      </c>
      <c r="W37" s="8" t="s">
        <v>278</v>
      </c>
      <c r="X37" s="6"/>
      <c r="Y37" s="6"/>
      <c r="Z37" s="6"/>
      <c r="AA37" s="6" t="s">
        <v>294</v>
      </c>
    </row>
    <row r="38" spans="1:27" s="4" customFormat="1" ht="33" customHeight="1">
      <c r="A38" s="5">
        <v>0</v>
      </c>
      <c r="B38" s="6" t="s">
        <v>295</v>
      </c>
      <c r="C38" s="7">
        <v>64.900000000000006</v>
      </c>
      <c r="D38" s="8" t="s">
        <v>296</v>
      </c>
      <c r="E38" s="8" t="s">
        <v>282</v>
      </c>
      <c r="F38" s="8"/>
      <c r="G38" s="6" t="s">
        <v>52</v>
      </c>
      <c r="H38" s="6" t="s">
        <v>98</v>
      </c>
      <c r="I38" s="8" t="s">
        <v>297</v>
      </c>
      <c r="J38" s="9">
        <v>1</v>
      </c>
      <c r="K38" s="9">
        <v>126</v>
      </c>
      <c r="L38" s="9">
        <v>2017</v>
      </c>
      <c r="M38" s="8" t="s">
        <v>298</v>
      </c>
      <c r="N38" s="8" t="s">
        <v>56</v>
      </c>
      <c r="O38" s="8" t="s">
        <v>57</v>
      </c>
      <c r="P38" s="6" t="s">
        <v>299</v>
      </c>
      <c r="Q38" s="8" t="s">
        <v>43</v>
      </c>
      <c r="R38" s="10" t="s">
        <v>300</v>
      </c>
      <c r="S38" s="11"/>
      <c r="T38" s="6"/>
      <c r="U38" s="12"/>
      <c r="V38" s="12"/>
      <c r="W38" s="8"/>
      <c r="X38" s="6"/>
      <c r="Y38" s="6"/>
      <c r="Z38" s="6"/>
      <c r="AA38" s="6" t="s">
        <v>301</v>
      </c>
    </row>
    <row r="39" spans="1:27" s="4" customFormat="1" ht="44.1" customHeight="1">
      <c r="A39" s="5">
        <v>0</v>
      </c>
      <c r="B39" s="6" t="s">
        <v>302</v>
      </c>
      <c r="C39" s="13">
        <v>1144.9000000000001</v>
      </c>
      <c r="D39" s="8" t="s">
        <v>303</v>
      </c>
      <c r="E39" s="8" t="s">
        <v>304</v>
      </c>
      <c r="F39" s="8" t="s">
        <v>305</v>
      </c>
      <c r="G39" s="6" t="s">
        <v>52</v>
      </c>
      <c r="H39" s="6" t="s">
        <v>53</v>
      </c>
      <c r="I39" s="8" t="s">
        <v>114</v>
      </c>
      <c r="J39" s="9">
        <v>1</v>
      </c>
      <c r="K39" s="9">
        <v>328</v>
      </c>
      <c r="L39" s="9">
        <v>2020</v>
      </c>
      <c r="M39" s="8" t="s">
        <v>306</v>
      </c>
      <c r="N39" s="8" t="s">
        <v>56</v>
      </c>
      <c r="O39" s="8" t="s">
        <v>57</v>
      </c>
      <c r="P39" s="6" t="s">
        <v>116</v>
      </c>
      <c r="Q39" s="8" t="s">
        <v>81</v>
      </c>
      <c r="R39" s="10" t="s">
        <v>285</v>
      </c>
      <c r="S39" s="11"/>
      <c r="T39" s="6"/>
      <c r="U39" s="27" t="str">
        <f>HYPERLINK("https://media.infra-m.ru/1072/1072271/cover/1072271.jpg", "Обложка")</f>
        <v>Обложка</v>
      </c>
      <c r="V39" s="27" t="str">
        <f>HYPERLINK("https://znanium.com/catalog/product/975897", "Ознакомиться")</f>
        <v>Ознакомиться</v>
      </c>
      <c r="W39" s="8" t="s">
        <v>307</v>
      </c>
      <c r="X39" s="6"/>
      <c r="Y39" s="6"/>
      <c r="Z39" s="6"/>
      <c r="AA39" s="6" t="s">
        <v>308</v>
      </c>
    </row>
    <row r="40" spans="1:27" s="4" customFormat="1" ht="51.95" customHeight="1">
      <c r="A40" s="5">
        <v>0</v>
      </c>
      <c r="B40" s="6" t="s">
        <v>309</v>
      </c>
      <c r="C40" s="13">
        <v>2300</v>
      </c>
      <c r="D40" s="8" t="s">
        <v>310</v>
      </c>
      <c r="E40" s="8" t="s">
        <v>304</v>
      </c>
      <c r="F40" s="8" t="s">
        <v>292</v>
      </c>
      <c r="G40" s="6" t="s">
        <v>37</v>
      </c>
      <c r="H40" s="6" t="s">
        <v>53</v>
      </c>
      <c r="I40" s="8" t="s">
        <v>191</v>
      </c>
      <c r="J40" s="9">
        <v>1</v>
      </c>
      <c r="K40" s="9">
        <v>500</v>
      </c>
      <c r="L40" s="9">
        <v>2024</v>
      </c>
      <c r="M40" s="8" t="s">
        <v>311</v>
      </c>
      <c r="N40" s="8" t="s">
        <v>56</v>
      </c>
      <c r="O40" s="8" t="s">
        <v>57</v>
      </c>
      <c r="P40" s="6" t="s">
        <v>42</v>
      </c>
      <c r="Q40" s="8" t="s">
        <v>43</v>
      </c>
      <c r="R40" s="10" t="s">
        <v>312</v>
      </c>
      <c r="S40" s="11" t="s">
        <v>313</v>
      </c>
      <c r="T40" s="6"/>
      <c r="U40" s="27" t="str">
        <f>HYPERLINK("https://media.infra-m.ru/1891/1891818/cover/1891818.jpg", "Обложка")</f>
        <v>Обложка</v>
      </c>
      <c r="V40" s="27" t="str">
        <f>HYPERLINK("https://znanium.com/catalog/product/1891818", "Ознакомиться")</f>
        <v>Ознакомиться</v>
      </c>
      <c r="W40" s="8" t="s">
        <v>278</v>
      </c>
      <c r="X40" s="6"/>
      <c r="Y40" s="6"/>
      <c r="Z40" s="6"/>
      <c r="AA40" s="6" t="s">
        <v>143</v>
      </c>
    </row>
    <row r="41" spans="1:27" s="4" customFormat="1" ht="51.95" customHeight="1">
      <c r="A41" s="5">
        <v>0</v>
      </c>
      <c r="B41" s="6" t="s">
        <v>314</v>
      </c>
      <c r="C41" s="13">
        <v>1440</v>
      </c>
      <c r="D41" s="8" t="s">
        <v>315</v>
      </c>
      <c r="E41" s="8" t="s">
        <v>316</v>
      </c>
      <c r="F41" s="8" t="s">
        <v>317</v>
      </c>
      <c r="G41" s="6" t="s">
        <v>67</v>
      </c>
      <c r="H41" s="6" t="s">
        <v>53</v>
      </c>
      <c r="I41" s="8" t="s">
        <v>148</v>
      </c>
      <c r="J41" s="9">
        <v>1</v>
      </c>
      <c r="K41" s="9">
        <v>293</v>
      </c>
      <c r="L41" s="9">
        <v>2024</v>
      </c>
      <c r="M41" s="8" t="s">
        <v>318</v>
      </c>
      <c r="N41" s="8" t="s">
        <v>56</v>
      </c>
      <c r="O41" s="8" t="s">
        <v>57</v>
      </c>
      <c r="P41" s="6" t="s">
        <v>69</v>
      </c>
      <c r="Q41" s="8" t="s">
        <v>150</v>
      </c>
      <c r="R41" s="10" t="s">
        <v>319</v>
      </c>
      <c r="S41" s="11" t="s">
        <v>320</v>
      </c>
      <c r="T41" s="6"/>
      <c r="U41" s="27" t="str">
        <f>HYPERLINK("https://media.infra-m.ru/2084/2084386/cover/2084386.jpg", "Обложка")</f>
        <v>Обложка</v>
      </c>
      <c r="V41" s="27" t="str">
        <f>HYPERLINK("https://znanium.com/catalog/product/2084386", "Ознакомиться")</f>
        <v>Ознакомиться</v>
      </c>
      <c r="W41" s="8" t="s">
        <v>321</v>
      </c>
      <c r="X41" s="6"/>
      <c r="Y41" s="6"/>
      <c r="Z41" s="6"/>
      <c r="AA41" s="6" t="s">
        <v>93</v>
      </c>
    </row>
    <row r="42" spans="1:27" s="4" customFormat="1" ht="51.95" customHeight="1">
      <c r="A42" s="5">
        <v>0</v>
      </c>
      <c r="B42" s="6" t="s">
        <v>322</v>
      </c>
      <c r="C42" s="7">
        <v>870</v>
      </c>
      <c r="D42" s="8" t="s">
        <v>323</v>
      </c>
      <c r="E42" s="8" t="s">
        <v>324</v>
      </c>
      <c r="F42" s="8" t="s">
        <v>325</v>
      </c>
      <c r="G42" s="6" t="s">
        <v>67</v>
      </c>
      <c r="H42" s="6" t="s">
        <v>53</v>
      </c>
      <c r="I42" s="8" t="s">
        <v>165</v>
      </c>
      <c r="J42" s="9">
        <v>1</v>
      </c>
      <c r="K42" s="9">
        <v>194</v>
      </c>
      <c r="L42" s="9">
        <v>2022</v>
      </c>
      <c r="M42" s="8" t="s">
        <v>326</v>
      </c>
      <c r="N42" s="8" t="s">
        <v>56</v>
      </c>
      <c r="O42" s="8" t="s">
        <v>57</v>
      </c>
      <c r="P42" s="6" t="s">
        <v>69</v>
      </c>
      <c r="Q42" s="8" t="s">
        <v>43</v>
      </c>
      <c r="R42" s="10" t="s">
        <v>327</v>
      </c>
      <c r="S42" s="11" t="s">
        <v>328</v>
      </c>
      <c r="T42" s="6" t="s">
        <v>277</v>
      </c>
      <c r="U42" s="27" t="str">
        <f>HYPERLINK("https://media.infra-m.ru/1903/1903238/cover/1903238.jpg", "Обложка")</f>
        <v>Обложка</v>
      </c>
      <c r="V42" s="27" t="str">
        <f>HYPERLINK("https://znanium.com/catalog/product/1940021", "Ознакомиться")</f>
        <v>Ознакомиться</v>
      </c>
      <c r="W42" s="8" t="s">
        <v>329</v>
      </c>
      <c r="X42" s="6"/>
      <c r="Y42" s="6"/>
      <c r="Z42" s="6"/>
      <c r="AA42" s="6" t="s">
        <v>288</v>
      </c>
    </row>
    <row r="43" spans="1:27" s="4" customFormat="1" ht="51.95" customHeight="1">
      <c r="A43" s="5">
        <v>0</v>
      </c>
      <c r="B43" s="6" t="s">
        <v>330</v>
      </c>
      <c r="C43" s="13">
        <v>1160</v>
      </c>
      <c r="D43" s="8" t="s">
        <v>331</v>
      </c>
      <c r="E43" s="8" t="s">
        <v>332</v>
      </c>
      <c r="F43" s="8" t="s">
        <v>325</v>
      </c>
      <c r="G43" s="6" t="s">
        <v>37</v>
      </c>
      <c r="H43" s="6" t="s">
        <v>53</v>
      </c>
      <c r="I43" s="8" t="s">
        <v>165</v>
      </c>
      <c r="J43" s="9">
        <v>1</v>
      </c>
      <c r="K43" s="9">
        <v>249</v>
      </c>
      <c r="L43" s="9">
        <v>2023</v>
      </c>
      <c r="M43" s="8" t="s">
        <v>333</v>
      </c>
      <c r="N43" s="8" t="s">
        <v>56</v>
      </c>
      <c r="O43" s="8" t="s">
        <v>57</v>
      </c>
      <c r="P43" s="6" t="s">
        <v>69</v>
      </c>
      <c r="Q43" s="8" t="s">
        <v>43</v>
      </c>
      <c r="R43" s="10" t="s">
        <v>327</v>
      </c>
      <c r="S43" s="11" t="s">
        <v>334</v>
      </c>
      <c r="T43" s="6" t="s">
        <v>277</v>
      </c>
      <c r="U43" s="27" t="str">
        <f>HYPERLINK("https://media.infra-m.ru/1852/1852490/cover/1852490.jpg", "Обложка")</f>
        <v>Обложка</v>
      </c>
      <c r="V43" s="27" t="str">
        <f>HYPERLINK("https://znanium.com/catalog/product/1940021", "Ознакомиться")</f>
        <v>Ознакомиться</v>
      </c>
      <c r="W43" s="8" t="s">
        <v>329</v>
      </c>
      <c r="X43" s="6" t="s">
        <v>335</v>
      </c>
      <c r="Y43" s="6"/>
      <c r="Z43" s="6"/>
      <c r="AA43" s="6" t="s">
        <v>336</v>
      </c>
    </row>
    <row r="44" spans="1:27" s="4" customFormat="1" ht="42" customHeight="1">
      <c r="A44" s="5">
        <v>0</v>
      </c>
      <c r="B44" s="6" t="s">
        <v>337</v>
      </c>
      <c r="C44" s="13">
        <v>1070</v>
      </c>
      <c r="D44" s="8" t="s">
        <v>338</v>
      </c>
      <c r="E44" s="8" t="s">
        <v>339</v>
      </c>
      <c r="F44" s="8" t="s">
        <v>340</v>
      </c>
      <c r="G44" s="6" t="s">
        <v>52</v>
      </c>
      <c r="H44" s="6" t="s">
        <v>53</v>
      </c>
      <c r="I44" s="8" t="s">
        <v>114</v>
      </c>
      <c r="J44" s="9">
        <v>1</v>
      </c>
      <c r="K44" s="9">
        <v>236</v>
      </c>
      <c r="L44" s="9">
        <v>2023</v>
      </c>
      <c r="M44" s="8" t="s">
        <v>341</v>
      </c>
      <c r="N44" s="8" t="s">
        <v>56</v>
      </c>
      <c r="O44" s="8" t="s">
        <v>57</v>
      </c>
      <c r="P44" s="6" t="s">
        <v>116</v>
      </c>
      <c r="Q44" s="8" t="s">
        <v>81</v>
      </c>
      <c r="R44" s="10" t="s">
        <v>342</v>
      </c>
      <c r="S44" s="11"/>
      <c r="T44" s="6"/>
      <c r="U44" s="27" t="str">
        <f>HYPERLINK("https://media.infra-m.ru/1896/1896465/cover/1896465.jpg", "Обложка")</f>
        <v>Обложка</v>
      </c>
      <c r="V44" s="27" t="str">
        <f>HYPERLINK("https://znanium.com/catalog/product/1896465", "Ознакомиться")</f>
        <v>Ознакомиться</v>
      </c>
      <c r="W44" s="8" t="s">
        <v>287</v>
      </c>
      <c r="X44" s="6"/>
      <c r="Y44" s="6"/>
      <c r="Z44" s="6"/>
      <c r="AA44" s="6" t="s">
        <v>343</v>
      </c>
    </row>
    <row r="45" spans="1:27" s="4" customFormat="1" ht="51.95" customHeight="1">
      <c r="A45" s="5">
        <v>0</v>
      </c>
      <c r="B45" s="6" t="s">
        <v>344</v>
      </c>
      <c r="C45" s="7">
        <v>504.9</v>
      </c>
      <c r="D45" s="8" t="s">
        <v>345</v>
      </c>
      <c r="E45" s="8" t="s">
        <v>346</v>
      </c>
      <c r="F45" s="8" t="s">
        <v>347</v>
      </c>
      <c r="G45" s="6" t="s">
        <v>37</v>
      </c>
      <c r="H45" s="6" t="s">
        <v>53</v>
      </c>
      <c r="I45" s="8" t="s">
        <v>165</v>
      </c>
      <c r="J45" s="9">
        <v>1</v>
      </c>
      <c r="K45" s="9">
        <v>112</v>
      </c>
      <c r="L45" s="9">
        <v>2023</v>
      </c>
      <c r="M45" s="8" t="s">
        <v>348</v>
      </c>
      <c r="N45" s="8" t="s">
        <v>56</v>
      </c>
      <c r="O45" s="8" t="s">
        <v>57</v>
      </c>
      <c r="P45" s="6" t="s">
        <v>42</v>
      </c>
      <c r="Q45" s="8" t="s">
        <v>43</v>
      </c>
      <c r="R45" s="10" t="s">
        <v>349</v>
      </c>
      <c r="S45" s="11" t="s">
        <v>350</v>
      </c>
      <c r="T45" s="6"/>
      <c r="U45" s="27" t="str">
        <f>HYPERLINK("https://media.infra-m.ru/1903/1903352/cover/1903352.jpg", "Обложка")</f>
        <v>Обложка</v>
      </c>
      <c r="V45" s="27" t="str">
        <f>HYPERLINK("https://znanium.com/catalog/product/1816632", "Ознакомиться")</f>
        <v>Ознакомиться</v>
      </c>
      <c r="W45" s="8" t="s">
        <v>351</v>
      </c>
      <c r="X45" s="6"/>
      <c r="Y45" s="6"/>
      <c r="Z45" s="6"/>
      <c r="AA45" s="6" t="s">
        <v>47</v>
      </c>
    </row>
    <row r="46" spans="1:27" s="4" customFormat="1" ht="51.95" customHeight="1">
      <c r="A46" s="5">
        <v>0</v>
      </c>
      <c r="B46" s="6" t="s">
        <v>352</v>
      </c>
      <c r="C46" s="13">
        <v>1190</v>
      </c>
      <c r="D46" s="8" t="s">
        <v>353</v>
      </c>
      <c r="E46" s="8" t="s">
        <v>354</v>
      </c>
      <c r="F46" s="8" t="s">
        <v>355</v>
      </c>
      <c r="G46" s="6" t="s">
        <v>67</v>
      </c>
      <c r="H46" s="6" t="s">
        <v>53</v>
      </c>
      <c r="I46" s="8" t="s">
        <v>165</v>
      </c>
      <c r="J46" s="9">
        <v>1</v>
      </c>
      <c r="K46" s="9">
        <v>313</v>
      </c>
      <c r="L46" s="9">
        <v>2022</v>
      </c>
      <c r="M46" s="8" t="s">
        <v>356</v>
      </c>
      <c r="N46" s="8" t="s">
        <v>56</v>
      </c>
      <c r="O46" s="8" t="s">
        <v>57</v>
      </c>
      <c r="P46" s="6" t="s">
        <v>42</v>
      </c>
      <c r="Q46" s="8" t="s">
        <v>43</v>
      </c>
      <c r="R46" s="10" t="s">
        <v>357</v>
      </c>
      <c r="S46" s="11" t="s">
        <v>358</v>
      </c>
      <c r="T46" s="6"/>
      <c r="U46" s="27" t="str">
        <f>HYPERLINK("https://media.infra-m.ru/1863/1863376/cover/1863376.jpg", "Обложка")</f>
        <v>Обложка</v>
      </c>
      <c r="V46" s="27" t="str">
        <f>HYPERLINK("https://znanium.com/catalog/product/1442619", "Ознакомиться")</f>
        <v>Ознакомиться</v>
      </c>
      <c r="W46" s="8" t="s">
        <v>134</v>
      </c>
      <c r="X46" s="6"/>
      <c r="Y46" s="6"/>
      <c r="Z46" s="6"/>
      <c r="AA46" s="6" t="s">
        <v>359</v>
      </c>
    </row>
    <row r="47" spans="1:27" s="4" customFormat="1" ht="51.95" customHeight="1">
      <c r="A47" s="5">
        <v>0</v>
      </c>
      <c r="B47" s="6" t="s">
        <v>360</v>
      </c>
      <c r="C47" s="13">
        <v>1130</v>
      </c>
      <c r="D47" s="8" t="s">
        <v>361</v>
      </c>
      <c r="E47" s="8" t="s">
        <v>362</v>
      </c>
      <c r="F47" s="8" t="s">
        <v>355</v>
      </c>
      <c r="G47" s="6" t="s">
        <v>67</v>
      </c>
      <c r="H47" s="6" t="s">
        <v>53</v>
      </c>
      <c r="I47" s="8" t="s">
        <v>165</v>
      </c>
      <c r="J47" s="9">
        <v>1</v>
      </c>
      <c r="K47" s="9">
        <v>330</v>
      </c>
      <c r="L47" s="9">
        <v>2020</v>
      </c>
      <c r="M47" s="8" t="s">
        <v>363</v>
      </c>
      <c r="N47" s="8" t="s">
        <v>56</v>
      </c>
      <c r="O47" s="8" t="s">
        <v>57</v>
      </c>
      <c r="P47" s="6" t="s">
        <v>42</v>
      </c>
      <c r="Q47" s="8" t="s">
        <v>43</v>
      </c>
      <c r="R47" s="10" t="s">
        <v>357</v>
      </c>
      <c r="S47" s="11" t="s">
        <v>364</v>
      </c>
      <c r="T47" s="6"/>
      <c r="U47" s="27" t="str">
        <f>HYPERLINK("https://media.infra-m.ru/1086/1086416/cover/1086416.jpg", "Обложка")</f>
        <v>Обложка</v>
      </c>
      <c r="V47" s="27" t="str">
        <f>HYPERLINK("https://znanium.com/catalog/product/1442619", "Ознакомиться")</f>
        <v>Ознакомиться</v>
      </c>
      <c r="W47" s="8" t="s">
        <v>134</v>
      </c>
      <c r="X47" s="6"/>
      <c r="Y47" s="6"/>
      <c r="Z47" s="6"/>
      <c r="AA47" s="6" t="s">
        <v>365</v>
      </c>
    </row>
    <row r="48" spans="1:27" s="4" customFormat="1" ht="44.1" customHeight="1">
      <c r="A48" s="5">
        <v>0</v>
      </c>
      <c r="B48" s="6" t="s">
        <v>366</v>
      </c>
      <c r="C48" s="7">
        <v>560</v>
      </c>
      <c r="D48" s="8" t="s">
        <v>367</v>
      </c>
      <c r="E48" s="8" t="s">
        <v>368</v>
      </c>
      <c r="F48" s="8" t="s">
        <v>369</v>
      </c>
      <c r="G48" s="6" t="s">
        <v>52</v>
      </c>
      <c r="H48" s="6" t="s">
        <v>53</v>
      </c>
      <c r="I48" s="8" t="s">
        <v>114</v>
      </c>
      <c r="J48" s="9">
        <v>1</v>
      </c>
      <c r="K48" s="9">
        <v>125</v>
      </c>
      <c r="L48" s="9">
        <v>2023</v>
      </c>
      <c r="M48" s="8" t="s">
        <v>370</v>
      </c>
      <c r="N48" s="8" t="s">
        <v>56</v>
      </c>
      <c r="O48" s="8" t="s">
        <v>57</v>
      </c>
      <c r="P48" s="6" t="s">
        <v>116</v>
      </c>
      <c r="Q48" s="8" t="s">
        <v>81</v>
      </c>
      <c r="R48" s="10" t="s">
        <v>371</v>
      </c>
      <c r="S48" s="11"/>
      <c r="T48" s="6"/>
      <c r="U48" s="27" t="str">
        <f>HYPERLINK("https://media.infra-m.ru/1938/1938001/cover/1938001.jpg", "Обложка")</f>
        <v>Обложка</v>
      </c>
      <c r="V48" s="27" t="str">
        <f>HYPERLINK("https://znanium.com/catalog/product/1938001", "Ознакомиться")</f>
        <v>Ознакомиться</v>
      </c>
      <c r="W48" s="8" t="s">
        <v>372</v>
      </c>
      <c r="X48" s="6"/>
      <c r="Y48" s="6"/>
      <c r="Z48" s="6"/>
      <c r="AA48" s="6" t="s">
        <v>208</v>
      </c>
    </row>
    <row r="49" spans="1:27" s="4" customFormat="1" ht="51.95" customHeight="1">
      <c r="A49" s="5">
        <v>0</v>
      </c>
      <c r="B49" s="6" t="s">
        <v>373</v>
      </c>
      <c r="C49" s="13">
        <v>2160</v>
      </c>
      <c r="D49" s="8" t="s">
        <v>374</v>
      </c>
      <c r="E49" s="8" t="s">
        <v>375</v>
      </c>
      <c r="F49" s="8" t="s">
        <v>376</v>
      </c>
      <c r="G49" s="6" t="s">
        <v>37</v>
      </c>
      <c r="H49" s="6" t="s">
        <v>239</v>
      </c>
      <c r="I49" s="8" t="s">
        <v>377</v>
      </c>
      <c r="J49" s="9">
        <v>1</v>
      </c>
      <c r="K49" s="9">
        <v>480</v>
      </c>
      <c r="L49" s="9">
        <v>2023</v>
      </c>
      <c r="M49" s="8" t="s">
        <v>378</v>
      </c>
      <c r="N49" s="8" t="s">
        <v>56</v>
      </c>
      <c r="O49" s="8" t="s">
        <v>57</v>
      </c>
      <c r="P49" s="6" t="s">
        <v>69</v>
      </c>
      <c r="Q49" s="8" t="s">
        <v>43</v>
      </c>
      <c r="R49" s="10" t="s">
        <v>379</v>
      </c>
      <c r="S49" s="11" t="s">
        <v>380</v>
      </c>
      <c r="T49" s="6"/>
      <c r="U49" s="27" t="str">
        <f>HYPERLINK("https://media.infra-m.ru/1949/1949127/cover/1949127.jpg", "Обложка")</f>
        <v>Обложка</v>
      </c>
      <c r="V49" s="27" t="str">
        <f>HYPERLINK("https://znanium.com/catalog/product/1233663", "Ознакомиться")</f>
        <v>Ознакомиться</v>
      </c>
      <c r="W49" s="8" t="s">
        <v>72</v>
      </c>
      <c r="X49" s="6"/>
      <c r="Y49" s="6"/>
      <c r="Z49" s="6"/>
      <c r="AA49" s="6" t="s">
        <v>84</v>
      </c>
    </row>
    <row r="50" spans="1:27" s="4" customFormat="1" ht="42" customHeight="1">
      <c r="A50" s="5">
        <v>0</v>
      </c>
      <c r="B50" s="6" t="s">
        <v>381</v>
      </c>
      <c r="C50" s="13">
        <v>1480</v>
      </c>
      <c r="D50" s="8" t="s">
        <v>382</v>
      </c>
      <c r="E50" s="8" t="s">
        <v>383</v>
      </c>
      <c r="F50" s="8" t="s">
        <v>384</v>
      </c>
      <c r="G50" s="6" t="s">
        <v>67</v>
      </c>
      <c r="H50" s="6" t="s">
        <v>385</v>
      </c>
      <c r="I50" s="8" t="s">
        <v>386</v>
      </c>
      <c r="J50" s="9">
        <v>1</v>
      </c>
      <c r="K50" s="9">
        <v>320</v>
      </c>
      <c r="L50" s="9">
        <v>2024</v>
      </c>
      <c r="M50" s="8" t="s">
        <v>387</v>
      </c>
      <c r="N50" s="8" t="s">
        <v>56</v>
      </c>
      <c r="O50" s="8" t="s">
        <v>57</v>
      </c>
      <c r="P50" s="6" t="s">
        <v>42</v>
      </c>
      <c r="Q50" s="8" t="s">
        <v>150</v>
      </c>
      <c r="R50" s="10" t="s">
        <v>388</v>
      </c>
      <c r="S50" s="11"/>
      <c r="T50" s="6"/>
      <c r="U50" s="27" t="str">
        <f>HYPERLINK("https://media.infra-m.ru/2109/2109049/cover/2109049.jpg", "Обложка")</f>
        <v>Обложка</v>
      </c>
      <c r="V50" s="27" t="str">
        <f>HYPERLINK("https://znanium.com/catalog/product/2109049", "Ознакомиться")</f>
        <v>Ознакомиться</v>
      </c>
      <c r="W50" s="8" t="s">
        <v>389</v>
      </c>
      <c r="X50" s="6"/>
      <c r="Y50" s="6"/>
      <c r="Z50" s="6"/>
      <c r="AA50" s="6" t="s">
        <v>343</v>
      </c>
    </row>
    <row r="51" spans="1:27" s="4" customFormat="1" ht="51.95" customHeight="1">
      <c r="A51" s="5">
        <v>0</v>
      </c>
      <c r="B51" s="6" t="s">
        <v>390</v>
      </c>
      <c r="C51" s="13">
        <v>1600</v>
      </c>
      <c r="D51" s="8" t="s">
        <v>391</v>
      </c>
      <c r="E51" s="8" t="s">
        <v>392</v>
      </c>
      <c r="F51" s="8" t="s">
        <v>393</v>
      </c>
      <c r="G51" s="6" t="s">
        <v>67</v>
      </c>
      <c r="H51" s="6" t="s">
        <v>53</v>
      </c>
      <c r="I51" s="8" t="s">
        <v>78</v>
      </c>
      <c r="J51" s="9">
        <v>1</v>
      </c>
      <c r="K51" s="9">
        <v>347</v>
      </c>
      <c r="L51" s="9">
        <v>2024</v>
      </c>
      <c r="M51" s="8" t="s">
        <v>394</v>
      </c>
      <c r="N51" s="8" t="s">
        <v>56</v>
      </c>
      <c r="O51" s="8" t="s">
        <v>57</v>
      </c>
      <c r="P51" s="6" t="s">
        <v>80</v>
      </c>
      <c r="Q51" s="8" t="s">
        <v>81</v>
      </c>
      <c r="R51" s="10" t="s">
        <v>395</v>
      </c>
      <c r="S51" s="11"/>
      <c r="T51" s="6" t="s">
        <v>277</v>
      </c>
      <c r="U51" s="27" t="str">
        <f>HYPERLINK("https://media.infra-m.ru/2102/2102657/cover/2102657.jpg", "Обложка")</f>
        <v>Обложка</v>
      </c>
      <c r="V51" s="27" t="str">
        <f>HYPERLINK("https://znanium.com/catalog/product/2102657", "Ознакомиться")</f>
        <v>Ознакомиться</v>
      </c>
      <c r="W51" s="8" t="s">
        <v>307</v>
      </c>
      <c r="X51" s="6"/>
      <c r="Y51" s="6"/>
      <c r="Z51" s="6"/>
      <c r="AA51" s="6" t="s">
        <v>288</v>
      </c>
    </row>
    <row r="52" spans="1:27" s="4" customFormat="1" ht="51.95" customHeight="1">
      <c r="A52" s="5">
        <v>0</v>
      </c>
      <c r="B52" s="6" t="s">
        <v>396</v>
      </c>
      <c r="C52" s="13">
        <v>1550</v>
      </c>
      <c r="D52" s="8" t="s">
        <v>397</v>
      </c>
      <c r="E52" s="8" t="s">
        <v>398</v>
      </c>
      <c r="F52" s="8" t="s">
        <v>399</v>
      </c>
      <c r="G52" s="6" t="s">
        <v>67</v>
      </c>
      <c r="H52" s="6" t="s">
        <v>53</v>
      </c>
      <c r="I52" s="8" t="s">
        <v>400</v>
      </c>
      <c r="J52" s="9">
        <v>1</v>
      </c>
      <c r="K52" s="9">
        <v>336</v>
      </c>
      <c r="L52" s="9">
        <v>2023</v>
      </c>
      <c r="M52" s="8" t="s">
        <v>401</v>
      </c>
      <c r="N52" s="8" t="s">
        <v>56</v>
      </c>
      <c r="O52" s="8" t="s">
        <v>57</v>
      </c>
      <c r="P52" s="6" t="s">
        <v>69</v>
      </c>
      <c r="Q52" s="8" t="s">
        <v>150</v>
      </c>
      <c r="R52" s="10" t="s">
        <v>402</v>
      </c>
      <c r="S52" s="11" t="s">
        <v>403</v>
      </c>
      <c r="T52" s="6"/>
      <c r="U52" s="27" t="str">
        <f>HYPERLINK("https://media.infra-m.ru/1980/1980007/cover/1980007.jpg", "Обложка")</f>
        <v>Обложка</v>
      </c>
      <c r="V52" s="27" t="str">
        <f>HYPERLINK("https://znanium.com/catalog/product/1980007", "Ознакомиться")</f>
        <v>Ознакомиться</v>
      </c>
      <c r="W52" s="8" t="s">
        <v>72</v>
      </c>
      <c r="X52" s="6"/>
      <c r="Y52" s="6"/>
      <c r="Z52" s="6"/>
      <c r="AA52" s="6" t="s">
        <v>226</v>
      </c>
    </row>
    <row r="53" spans="1:27" s="4" customFormat="1" ht="51.95" customHeight="1">
      <c r="A53" s="5">
        <v>0</v>
      </c>
      <c r="B53" s="6" t="s">
        <v>404</v>
      </c>
      <c r="C53" s="13">
        <v>1610</v>
      </c>
      <c r="D53" s="8" t="s">
        <v>405</v>
      </c>
      <c r="E53" s="8" t="s">
        <v>406</v>
      </c>
      <c r="F53" s="8" t="s">
        <v>407</v>
      </c>
      <c r="G53" s="6" t="s">
        <v>67</v>
      </c>
      <c r="H53" s="6" t="s">
        <v>38</v>
      </c>
      <c r="I53" s="8"/>
      <c r="J53" s="9">
        <v>1</v>
      </c>
      <c r="K53" s="9">
        <v>350</v>
      </c>
      <c r="L53" s="9">
        <v>2023</v>
      </c>
      <c r="M53" s="8" t="s">
        <v>408</v>
      </c>
      <c r="N53" s="8" t="s">
        <v>40</v>
      </c>
      <c r="O53" s="8" t="s">
        <v>41</v>
      </c>
      <c r="P53" s="6" t="s">
        <v>42</v>
      </c>
      <c r="Q53" s="8" t="s">
        <v>43</v>
      </c>
      <c r="R53" s="10" t="s">
        <v>409</v>
      </c>
      <c r="S53" s="11" t="s">
        <v>410</v>
      </c>
      <c r="T53" s="6" t="s">
        <v>277</v>
      </c>
      <c r="U53" s="27" t="str">
        <f>HYPERLINK("https://media.infra-m.ru/1893/1893969/cover/1893969.jpg", "Обложка")</f>
        <v>Обложка</v>
      </c>
      <c r="V53" s="27" t="str">
        <f>HYPERLINK("https://znanium.com/catalog/product/1893969", "Ознакомиться")</f>
        <v>Ознакомиться</v>
      </c>
      <c r="W53" s="8" t="s">
        <v>46</v>
      </c>
      <c r="X53" s="6"/>
      <c r="Y53" s="6"/>
      <c r="Z53" s="6"/>
      <c r="AA53" s="6" t="s">
        <v>186</v>
      </c>
    </row>
    <row r="54" spans="1:27" s="4" customFormat="1" ht="51.95" customHeight="1">
      <c r="A54" s="5">
        <v>0</v>
      </c>
      <c r="B54" s="6" t="s">
        <v>411</v>
      </c>
      <c r="C54" s="7">
        <v>989.9</v>
      </c>
      <c r="D54" s="8" t="s">
        <v>412</v>
      </c>
      <c r="E54" s="8" t="s">
        <v>413</v>
      </c>
      <c r="F54" s="8" t="s">
        <v>407</v>
      </c>
      <c r="G54" s="6" t="s">
        <v>37</v>
      </c>
      <c r="H54" s="6" t="s">
        <v>38</v>
      </c>
      <c r="I54" s="8" t="s">
        <v>414</v>
      </c>
      <c r="J54" s="9">
        <v>20</v>
      </c>
      <c r="K54" s="9">
        <v>336</v>
      </c>
      <c r="L54" s="9">
        <v>2017</v>
      </c>
      <c r="M54" s="8" t="s">
        <v>415</v>
      </c>
      <c r="N54" s="8" t="s">
        <v>40</v>
      </c>
      <c r="O54" s="8" t="s">
        <v>41</v>
      </c>
      <c r="P54" s="6" t="s">
        <v>42</v>
      </c>
      <c r="Q54" s="8" t="s">
        <v>43</v>
      </c>
      <c r="R54" s="10" t="s">
        <v>409</v>
      </c>
      <c r="S54" s="11" t="s">
        <v>416</v>
      </c>
      <c r="T54" s="6" t="s">
        <v>277</v>
      </c>
      <c r="U54" s="27" t="str">
        <f>HYPERLINK("https://media.infra-m.ru/0636/0636239/cover/636239.jpg", "Обложка")</f>
        <v>Обложка</v>
      </c>
      <c r="V54" s="27" t="str">
        <f>HYPERLINK("https://znanium.com/catalog/product/1893969", "Ознакомиться")</f>
        <v>Ознакомиться</v>
      </c>
      <c r="W54" s="8" t="s">
        <v>46</v>
      </c>
      <c r="X54" s="6"/>
      <c r="Y54" s="6"/>
      <c r="Z54" s="6"/>
      <c r="AA54" s="6" t="s">
        <v>417</v>
      </c>
    </row>
    <row r="55" spans="1:27" s="4" customFormat="1" ht="51.95" customHeight="1">
      <c r="A55" s="5">
        <v>0</v>
      </c>
      <c r="B55" s="6" t="s">
        <v>418</v>
      </c>
      <c r="C55" s="13">
        <v>1650</v>
      </c>
      <c r="D55" s="8" t="s">
        <v>419</v>
      </c>
      <c r="E55" s="8" t="s">
        <v>420</v>
      </c>
      <c r="F55" s="8" t="s">
        <v>421</v>
      </c>
      <c r="G55" s="6" t="s">
        <v>67</v>
      </c>
      <c r="H55" s="6" t="s">
        <v>53</v>
      </c>
      <c r="I55" s="8" t="s">
        <v>165</v>
      </c>
      <c r="J55" s="9">
        <v>1</v>
      </c>
      <c r="K55" s="9">
        <v>382</v>
      </c>
      <c r="L55" s="9">
        <v>2022</v>
      </c>
      <c r="M55" s="8" t="s">
        <v>422</v>
      </c>
      <c r="N55" s="8" t="s">
        <v>40</v>
      </c>
      <c r="O55" s="8" t="s">
        <v>41</v>
      </c>
      <c r="P55" s="6" t="s">
        <v>42</v>
      </c>
      <c r="Q55" s="8" t="s">
        <v>43</v>
      </c>
      <c r="R55" s="10" t="s">
        <v>423</v>
      </c>
      <c r="S55" s="11" t="s">
        <v>424</v>
      </c>
      <c r="T55" s="6" t="s">
        <v>277</v>
      </c>
      <c r="U55" s="27" t="str">
        <f>HYPERLINK("https://media.infra-m.ru/1248/1248243/cover/1248243.jpg", "Обложка")</f>
        <v>Обложка</v>
      </c>
      <c r="V55" s="27" t="str">
        <f>HYPERLINK("https://znanium.com/catalog/product/1248243", "Ознакомиться")</f>
        <v>Ознакомиться</v>
      </c>
      <c r="W55" s="8" t="s">
        <v>46</v>
      </c>
      <c r="X55" s="6"/>
      <c r="Y55" s="6"/>
      <c r="Z55" s="6"/>
      <c r="AA55" s="6" t="s">
        <v>425</v>
      </c>
    </row>
    <row r="56" spans="1:27" s="4" customFormat="1" ht="51.95" customHeight="1">
      <c r="A56" s="5">
        <v>0</v>
      </c>
      <c r="B56" s="6" t="s">
        <v>426</v>
      </c>
      <c r="C56" s="13">
        <v>1120</v>
      </c>
      <c r="D56" s="8" t="s">
        <v>427</v>
      </c>
      <c r="E56" s="8" t="s">
        <v>428</v>
      </c>
      <c r="F56" s="8" t="s">
        <v>429</v>
      </c>
      <c r="G56" s="6" t="s">
        <v>67</v>
      </c>
      <c r="H56" s="6" t="s">
        <v>53</v>
      </c>
      <c r="I56" s="8" t="s">
        <v>165</v>
      </c>
      <c r="J56" s="9">
        <v>1</v>
      </c>
      <c r="K56" s="9">
        <v>352</v>
      </c>
      <c r="L56" s="9">
        <v>2019</v>
      </c>
      <c r="M56" s="8" t="s">
        <v>430</v>
      </c>
      <c r="N56" s="8" t="s">
        <v>40</v>
      </c>
      <c r="O56" s="8" t="s">
        <v>41</v>
      </c>
      <c r="P56" s="6" t="s">
        <v>42</v>
      </c>
      <c r="Q56" s="8" t="s">
        <v>43</v>
      </c>
      <c r="R56" s="10" t="s">
        <v>423</v>
      </c>
      <c r="S56" s="11" t="s">
        <v>431</v>
      </c>
      <c r="T56" s="6" t="s">
        <v>277</v>
      </c>
      <c r="U56" s="27" t="str">
        <f>HYPERLINK("https://media.infra-m.ru/1002/1002364/cover/1002364.jpg", "Обложка")</f>
        <v>Обложка</v>
      </c>
      <c r="V56" s="27" t="str">
        <f>HYPERLINK("https://znanium.com/catalog/product/1248243", "Ознакомиться")</f>
        <v>Ознакомиться</v>
      </c>
      <c r="W56" s="8" t="s">
        <v>46</v>
      </c>
      <c r="X56" s="6"/>
      <c r="Y56" s="6"/>
      <c r="Z56" s="6"/>
      <c r="AA56" s="6" t="s">
        <v>308</v>
      </c>
    </row>
    <row r="57" spans="1:27" s="4" customFormat="1" ht="51.95" customHeight="1">
      <c r="A57" s="5">
        <v>0</v>
      </c>
      <c r="B57" s="6" t="s">
        <v>432</v>
      </c>
      <c r="C57" s="13">
        <v>1320</v>
      </c>
      <c r="D57" s="8" t="s">
        <v>433</v>
      </c>
      <c r="E57" s="8" t="s">
        <v>434</v>
      </c>
      <c r="F57" s="8" t="s">
        <v>435</v>
      </c>
      <c r="G57" s="6" t="s">
        <v>67</v>
      </c>
      <c r="H57" s="6" t="s">
        <v>53</v>
      </c>
      <c r="I57" s="8" t="s">
        <v>436</v>
      </c>
      <c r="J57" s="9">
        <v>1</v>
      </c>
      <c r="K57" s="9">
        <v>287</v>
      </c>
      <c r="L57" s="9">
        <v>2024</v>
      </c>
      <c r="M57" s="8" t="s">
        <v>437</v>
      </c>
      <c r="N57" s="8" t="s">
        <v>40</v>
      </c>
      <c r="O57" s="8" t="s">
        <v>41</v>
      </c>
      <c r="P57" s="6" t="s">
        <v>42</v>
      </c>
      <c r="Q57" s="8" t="s">
        <v>43</v>
      </c>
      <c r="R57" s="10" t="s">
        <v>438</v>
      </c>
      <c r="S57" s="11" t="s">
        <v>439</v>
      </c>
      <c r="T57" s="6"/>
      <c r="U57" s="27" t="str">
        <f>HYPERLINK("https://media.infra-m.ru/2122/2122963/cover/2122963.jpg", "Обложка")</f>
        <v>Обложка</v>
      </c>
      <c r="V57" s="27" t="str">
        <f>HYPERLINK("https://znanium.com/catalog/product/2122963", "Ознакомиться")</f>
        <v>Ознакомиться</v>
      </c>
      <c r="W57" s="8" t="s">
        <v>46</v>
      </c>
      <c r="X57" s="6"/>
      <c r="Y57" s="6"/>
      <c r="Z57" s="6"/>
      <c r="AA57" s="6" t="s">
        <v>440</v>
      </c>
    </row>
    <row r="58" spans="1:27" s="4" customFormat="1" ht="51.95" customHeight="1">
      <c r="A58" s="5">
        <v>0</v>
      </c>
      <c r="B58" s="6" t="s">
        <v>441</v>
      </c>
      <c r="C58" s="13">
        <v>1470</v>
      </c>
      <c r="D58" s="8" t="s">
        <v>442</v>
      </c>
      <c r="E58" s="8" t="s">
        <v>443</v>
      </c>
      <c r="F58" s="8" t="s">
        <v>444</v>
      </c>
      <c r="G58" s="6" t="s">
        <v>67</v>
      </c>
      <c r="H58" s="6" t="s">
        <v>53</v>
      </c>
      <c r="I58" s="8" t="s">
        <v>130</v>
      </c>
      <c r="J58" s="9">
        <v>1</v>
      </c>
      <c r="K58" s="9">
        <v>319</v>
      </c>
      <c r="L58" s="9">
        <v>2024</v>
      </c>
      <c r="M58" s="8" t="s">
        <v>445</v>
      </c>
      <c r="N58" s="8" t="s">
        <v>56</v>
      </c>
      <c r="O58" s="8" t="s">
        <v>57</v>
      </c>
      <c r="P58" s="6" t="s">
        <v>69</v>
      </c>
      <c r="Q58" s="8" t="s">
        <v>81</v>
      </c>
      <c r="R58" s="10" t="s">
        <v>446</v>
      </c>
      <c r="S58" s="11" t="s">
        <v>447</v>
      </c>
      <c r="T58" s="6"/>
      <c r="U58" s="27" t="str">
        <f>HYPERLINK("https://media.infra-m.ru/2090/2090699/cover/2090699.jpg", "Обложка")</f>
        <v>Обложка</v>
      </c>
      <c r="V58" s="27" t="str">
        <f>HYPERLINK("https://znanium.com/catalog/product/2090699", "Ознакомиться")</f>
        <v>Ознакомиться</v>
      </c>
      <c r="W58" s="8" t="s">
        <v>118</v>
      </c>
      <c r="X58" s="6"/>
      <c r="Y58" s="6"/>
      <c r="Z58" s="6"/>
      <c r="AA58" s="6" t="s">
        <v>448</v>
      </c>
    </row>
    <row r="59" spans="1:27" s="4" customFormat="1" ht="42" customHeight="1">
      <c r="A59" s="5">
        <v>0</v>
      </c>
      <c r="B59" s="6" t="s">
        <v>449</v>
      </c>
      <c r="C59" s="7">
        <v>840</v>
      </c>
      <c r="D59" s="8" t="s">
        <v>450</v>
      </c>
      <c r="E59" s="8" t="s">
        <v>451</v>
      </c>
      <c r="F59" s="8" t="s">
        <v>452</v>
      </c>
      <c r="G59" s="6" t="s">
        <v>52</v>
      </c>
      <c r="H59" s="6" t="s">
        <v>98</v>
      </c>
      <c r="I59" s="8" t="s">
        <v>54</v>
      </c>
      <c r="J59" s="9">
        <v>1</v>
      </c>
      <c r="K59" s="9">
        <v>176</v>
      </c>
      <c r="L59" s="9">
        <v>2024</v>
      </c>
      <c r="M59" s="8" t="s">
        <v>453</v>
      </c>
      <c r="N59" s="8" t="s">
        <v>56</v>
      </c>
      <c r="O59" s="8" t="s">
        <v>57</v>
      </c>
      <c r="P59" s="6" t="s">
        <v>42</v>
      </c>
      <c r="Q59" s="8" t="s">
        <v>58</v>
      </c>
      <c r="R59" s="10" t="s">
        <v>454</v>
      </c>
      <c r="S59" s="11"/>
      <c r="T59" s="6"/>
      <c r="U59" s="27" t="str">
        <f>HYPERLINK("https://media.infra-m.ru/2096/2096295/cover/2096295.jpg", "Обложка")</f>
        <v>Обложка</v>
      </c>
      <c r="V59" s="27" t="str">
        <f>HYPERLINK("https://znanium.com/catalog/product/2096295", "Ознакомиться")</f>
        <v>Ознакомиться</v>
      </c>
      <c r="W59" s="8"/>
      <c r="X59" s="6"/>
      <c r="Y59" s="6"/>
      <c r="Z59" s="6"/>
      <c r="AA59" s="6" t="s">
        <v>288</v>
      </c>
    </row>
    <row r="60" spans="1:27" s="4" customFormat="1" ht="51.95" customHeight="1">
      <c r="A60" s="5">
        <v>0</v>
      </c>
      <c r="B60" s="6" t="s">
        <v>455</v>
      </c>
      <c r="C60" s="13">
        <v>1214.9000000000001</v>
      </c>
      <c r="D60" s="8" t="s">
        <v>456</v>
      </c>
      <c r="E60" s="8" t="s">
        <v>457</v>
      </c>
      <c r="F60" s="8" t="s">
        <v>458</v>
      </c>
      <c r="G60" s="6" t="s">
        <v>37</v>
      </c>
      <c r="H60" s="6" t="s">
        <v>53</v>
      </c>
      <c r="I60" s="8" t="s">
        <v>459</v>
      </c>
      <c r="J60" s="9">
        <v>1</v>
      </c>
      <c r="K60" s="9">
        <v>416</v>
      </c>
      <c r="L60" s="9">
        <v>2018</v>
      </c>
      <c r="M60" s="8" t="s">
        <v>460</v>
      </c>
      <c r="N60" s="8" t="s">
        <v>56</v>
      </c>
      <c r="O60" s="8" t="s">
        <v>57</v>
      </c>
      <c r="P60" s="6" t="s">
        <v>42</v>
      </c>
      <c r="Q60" s="8" t="s">
        <v>43</v>
      </c>
      <c r="R60" s="10" t="s">
        <v>461</v>
      </c>
      <c r="S60" s="11" t="s">
        <v>462</v>
      </c>
      <c r="T60" s="6"/>
      <c r="U60" s="27" t="str">
        <f>HYPERLINK("https://media.infra-m.ru/0920/0920498/cover/920498.jpg", "Обложка")</f>
        <v>Обложка</v>
      </c>
      <c r="V60" s="27" t="str">
        <f>HYPERLINK("https://znanium.com/catalog/product/920498", "Ознакомиться")</f>
        <v>Ознакомиться</v>
      </c>
      <c r="W60" s="8" t="s">
        <v>287</v>
      </c>
      <c r="X60" s="6"/>
      <c r="Y60" s="6"/>
      <c r="Z60" s="6"/>
      <c r="AA60" s="6" t="s">
        <v>463</v>
      </c>
    </row>
    <row r="61" spans="1:27" s="4" customFormat="1" ht="51.95" customHeight="1">
      <c r="A61" s="5">
        <v>0</v>
      </c>
      <c r="B61" s="6" t="s">
        <v>464</v>
      </c>
      <c r="C61" s="13">
        <v>1584.9</v>
      </c>
      <c r="D61" s="8" t="s">
        <v>465</v>
      </c>
      <c r="E61" s="8" t="s">
        <v>466</v>
      </c>
      <c r="F61" s="8" t="s">
        <v>458</v>
      </c>
      <c r="G61" s="6" t="s">
        <v>37</v>
      </c>
      <c r="H61" s="6" t="s">
        <v>53</v>
      </c>
      <c r="I61" s="8" t="s">
        <v>459</v>
      </c>
      <c r="J61" s="9">
        <v>1</v>
      </c>
      <c r="K61" s="9">
        <v>416</v>
      </c>
      <c r="L61" s="9">
        <v>2022</v>
      </c>
      <c r="M61" s="8" t="s">
        <v>460</v>
      </c>
      <c r="N61" s="8" t="s">
        <v>56</v>
      </c>
      <c r="O61" s="8" t="s">
        <v>57</v>
      </c>
      <c r="P61" s="6" t="s">
        <v>42</v>
      </c>
      <c r="Q61" s="8" t="s">
        <v>43</v>
      </c>
      <c r="R61" s="10" t="s">
        <v>461</v>
      </c>
      <c r="S61" s="11" t="s">
        <v>462</v>
      </c>
      <c r="T61" s="6"/>
      <c r="U61" s="27" t="str">
        <f>HYPERLINK("https://media.infra-m.ru/1842/1842544/cover/1842544.jpg", "Обложка")</f>
        <v>Обложка</v>
      </c>
      <c r="V61" s="27" t="str">
        <f>HYPERLINK("https://znanium.com/catalog/product/920498", "Ознакомиться")</f>
        <v>Ознакомиться</v>
      </c>
      <c r="W61" s="8" t="s">
        <v>287</v>
      </c>
      <c r="X61" s="6"/>
      <c r="Y61" s="6"/>
      <c r="Z61" s="6"/>
      <c r="AA61" s="6" t="s">
        <v>467</v>
      </c>
    </row>
    <row r="62" spans="1:27" s="4" customFormat="1" ht="51.95" customHeight="1">
      <c r="A62" s="5">
        <v>0</v>
      </c>
      <c r="B62" s="6" t="s">
        <v>468</v>
      </c>
      <c r="C62" s="13">
        <v>1144</v>
      </c>
      <c r="D62" s="8" t="s">
        <v>469</v>
      </c>
      <c r="E62" s="8" t="s">
        <v>470</v>
      </c>
      <c r="F62" s="8" t="s">
        <v>471</v>
      </c>
      <c r="G62" s="6" t="s">
        <v>37</v>
      </c>
      <c r="H62" s="6" t="s">
        <v>53</v>
      </c>
      <c r="I62" s="8" t="s">
        <v>165</v>
      </c>
      <c r="J62" s="9">
        <v>1</v>
      </c>
      <c r="K62" s="9">
        <v>252</v>
      </c>
      <c r="L62" s="9">
        <v>2023</v>
      </c>
      <c r="M62" s="8" t="s">
        <v>472</v>
      </c>
      <c r="N62" s="8" t="s">
        <v>56</v>
      </c>
      <c r="O62" s="8" t="s">
        <v>57</v>
      </c>
      <c r="P62" s="6" t="s">
        <v>69</v>
      </c>
      <c r="Q62" s="8" t="s">
        <v>43</v>
      </c>
      <c r="R62" s="10" t="s">
        <v>300</v>
      </c>
      <c r="S62" s="11" t="s">
        <v>473</v>
      </c>
      <c r="T62" s="6" t="s">
        <v>277</v>
      </c>
      <c r="U62" s="27" t="str">
        <f>HYPERLINK("https://media.infra-m.ru/2029/2029753/cover/2029753.jpg", "Обложка")</f>
        <v>Обложка</v>
      </c>
      <c r="V62" s="27" t="str">
        <f>HYPERLINK("https://znanium.com/catalog/product/1842526", "Ознакомиться")</f>
        <v>Ознакомиться</v>
      </c>
      <c r="W62" s="8" t="s">
        <v>307</v>
      </c>
      <c r="X62" s="6"/>
      <c r="Y62" s="6"/>
      <c r="Z62" s="6"/>
      <c r="AA62" s="6" t="s">
        <v>62</v>
      </c>
    </row>
    <row r="63" spans="1:27" s="4" customFormat="1" ht="44.1" customHeight="1">
      <c r="A63" s="5">
        <v>0</v>
      </c>
      <c r="B63" s="6" t="s">
        <v>474</v>
      </c>
      <c r="C63" s="13">
        <v>1300</v>
      </c>
      <c r="D63" s="8" t="s">
        <v>475</v>
      </c>
      <c r="E63" s="8" t="s">
        <v>476</v>
      </c>
      <c r="F63" s="8" t="s">
        <v>477</v>
      </c>
      <c r="G63" s="6" t="s">
        <v>52</v>
      </c>
      <c r="H63" s="6" t="s">
        <v>53</v>
      </c>
      <c r="I63" s="8" t="s">
        <v>478</v>
      </c>
      <c r="J63" s="9">
        <v>1</v>
      </c>
      <c r="K63" s="9">
        <v>284</v>
      </c>
      <c r="L63" s="9">
        <v>2024</v>
      </c>
      <c r="M63" s="8" t="s">
        <v>479</v>
      </c>
      <c r="N63" s="8" t="s">
        <v>56</v>
      </c>
      <c r="O63" s="8" t="s">
        <v>57</v>
      </c>
      <c r="P63" s="6" t="s">
        <v>80</v>
      </c>
      <c r="Q63" s="8" t="s">
        <v>81</v>
      </c>
      <c r="R63" s="10" t="s">
        <v>480</v>
      </c>
      <c r="S63" s="11"/>
      <c r="T63" s="6"/>
      <c r="U63" s="27" t="str">
        <f>HYPERLINK("https://media.infra-m.ru/2051/2051470/cover/2051470.jpg", "Обложка")</f>
        <v>Обложка</v>
      </c>
      <c r="V63" s="27" t="str">
        <f>HYPERLINK("https://znanium.com/catalog/product/2051470", "Ознакомиться")</f>
        <v>Ознакомиться</v>
      </c>
      <c r="W63" s="8" t="s">
        <v>307</v>
      </c>
      <c r="X63" s="6"/>
      <c r="Y63" s="6"/>
      <c r="Z63" s="6"/>
      <c r="AA63" s="6" t="s">
        <v>84</v>
      </c>
    </row>
    <row r="64" spans="1:27" s="4" customFormat="1" ht="51.95" customHeight="1">
      <c r="A64" s="5">
        <v>0</v>
      </c>
      <c r="B64" s="6" t="s">
        <v>481</v>
      </c>
      <c r="C64" s="13">
        <v>1130</v>
      </c>
      <c r="D64" s="8" t="s">
        <v>482</v>
      </c>
      <c r="E64" s="8" t="s">
        <v>483</v>
      </c>
      <c r="F64" s="8" t="s">
        <v>484</v>
      </c>
      <c r="G64" s="6" t="s">
        <v>52</v>
      </c>
      <c r="H64" s="6" t="s">
        <v>53</v>
      </c>
      <c r="I64" s="8" t="s">
        <v>114</v>
      </c>
      <c r="J64" s="9">
        <v>1</v>
      </c>
      <c r="K64" s="9">
        <v>362</v>
      </c>
      <c r="L64" s="9">
        <v>2018</v>
      </c>
      <c r="M64" s="8" t="s">
        <v>485</v>
      </c>
      <c r="N64" s="8" t="s">
        <v>56</v>
      </c>
      <c r="O64" s="8" t="s">
        <v>57</v>
      </c>
      <c r="P64" s="6" t="s">
        <v>116</v>
      </c>
      <c r="Q64" s="8" t="s">
        <v>81</v>
      </c>
      <c r="R64" s="10" t="s">
        <v>486</v>
      </c>
      <c r="S64" s="11"/>
      <c r="T64" s="6"/>
      <c r="U64" s="27" t="str">
        <f>HYPERLINK("https://media.infra-m.ru/0920/0920704/cover/920704.jpg", "Обложка")</f>
        <v>Обложка</v>
      </c>
      <c r="V64" s="27" t="str">
        <f>HYPERLINK("https://znanium.com/catalog/product/920704", "Ознакомиться")</f>
        <v>Ознакомиться</v>
      </c>
      <c r="W64" s="8" t="s">
        <v>487</v>
      </c>
      <c r="X64" s="6"/>
      <c r="Y64" s="6"/>
      <c r="Z64" s="6"/>
      <c r="AA64" s="6" t="s">
        <v>253</v>
      </c>
    </row>
    <row r="65" spans="1:27" s="4" customFormat="1" ht="51.95" customHeight="1">
      <c r="A65" s="5">
        <v>0</v>
      </c>
      <c r="B65" s="6" t="s">
        <v>488</v>
      </c>
      <c r="C65" s="13">
        <v>1500</v>
      </c>
      <c r="D65" s="8" t="s">
        <v>489</v>
      </c>
      <c r="E65" s="8" t="s">
        <v>490</v>
      </c>
      <c r="F65" s="8" t="s">
        <v>491</v>
      </c>
      <c r="G65" s="6" t="s">
        <v>67</v>
      </c>
      <c r="H65" s="6" t="s">
        <v>53</v>
      </c>
      <c r="I65" s="8" t="s">
        <v>54</v>
      </c>
      <c r="J65" s="9">
        <v>1</v>
      </c>
      <c r="K65" s="9">
        <v>326</v>
      </c>
      <c r="L65" s="9">
        <v>2024</v>
      </c>
      <c r="M65" s="8" t="s">
        <v>492</v>
      </c>
      <c r="N65" s="8" t="s">
        <v>56</v>
      </c>
      <c r="O65" s="8" t="s">
        <v>57</v>
      </c>
      <c r="P65" s="6" t="s">
        <v>42</v>
      </c>
      <c r="Q65" s="8" t="s">
        <v>58</v>
      </c>
      <c r="R65" s="10" t="s">
        <v>493</v>
      </c>
      <c r="S65" s="11" t="s">
        <v>494</v>
      </c>
      <c r="T65" s="6"/>
      <c r="U65" s="27" t="str">
        <f>HYPERLINK("https://media.infra-m.ru/2111/2111930/cover/2111930.jpg", "Обложка")</f>
        <v>Обложка</v>
      </c>
      <c r="V65" s="27" t="str">
        <f>HYPERLINK("https://znanium.com/catalog/product/2111930", "Ознакомиться")</f>
        <v>Ознакомиться</v>
      </c>
      <c r="W65" s="8" t="s">
        <v>495</v>
      </c>
      <c r="X65" s="6"/>
      <c r="Y65" s="6"/>
      <c r="Z65" s="6"/>
      <c r="AA65" s="6" t="s">
        <v>496</v>
      </c>
    </row>
    <row r="66" spans="1:27" s="4" customFormat="1" ht="51.95" customHeight="1">
      <c r="A66" s="5">
        <v>0</v>
      </c>
      <c r="B66" s="6" t="s">
        <v>497</v>
      </c>
      <c r="C66" s="13">
        <v>1360</v>
      </c>
      <c r="D66" s="8" t="s">
        <v>498</v>
      </c>
      <c r="E66" s="8" t="s">
        <v>499</v>
      </c>
      <c r="F66" s="8" t="s">
        <v>500</v>
      </c>
      <c r="G66" s="6" t="s">
        <v>67</v>
      </c>
      <c r="H66" s="6" t="s">
        <v>53</v>
      </c>
      <c r="I66" s="8"/>
      <c r="J66" s="9">
        <v>1</v>
      </c>
      <c r="K66" s="9">
        <v>352</v>
      </c>
      <c r="L66" s="9">
        <v>2022</v>
      </c>
      <c r="M66" s="8" t="s">
        <v>501</v>
      </c>
      <c r="N66" s="8" t="s">
        <v>56</v>
      </c>
      <c r="O66" s="8" t="s">
        <v>57</v>
      </c>
      <c r="P66" s="6" t="s">
        <v>42</v>
      </c>
      <c r="Q66" s="8" t="s">
        <v>43</v>
      </c>
      <c r="R66" s="10" t="s">
        <v>493</v>
      </c>
      <c r="S66" s="11" t="s">
        <v>502</v>
      </c>
      <c r="T66" s="6"/>
      <c r="U66" s="27" t="str">
        <f>HYPERLINK("https://media.infra-m.ru/1855/1855501/cover/1855501.jpg", "Обложка")</f>
        <v>Обложка</v>
      </c>
      <c r="V66" s="27" t="str">
        <f>HYPERLINK("https://znanium.com/catalog/product/2111930", "Ознакомиться")</f>
        <v>Ознакомиться</v>
      </c>
      <c r="W66" s="8" t="s">
        <v>495</v>
      </c>
      <c r="X66" s="6"/>
      <c r="Y66" s="6"/>
      <c r="Z66" s="6"/>
      <c r="AA66" s="6" t="s">
        <v>84</v>
      </c>
    </row>
    <row r="67" spans="1:27" s="4" customFormat="1" ht="51.95" customHeight="1">
      <c r="A67" s="5">
        <v>0</v>
      </c>
      <c r="B67" s="6" t="s">
        <v>503</v>
      </c>
      <c r="C67" s="13">
        <v>1280</v>
      </c>
      <c r="D67" s="8" t="s">
        <v>504</v>
      </c>
      <c r="E67" s="8" t="s">
        <v>505</v>
      </c>
      <c r="F67" s="8" t="s">
        <v>506</v>
      </c>
      <c r="G67" s="6" t="s">
        <v>67</v>
      </c>
      <c r="H67" s="6" t="s">
        <v>53</v>
      </c>
      <c r="I67" s="8" t="s">
        <v>54</v>
      </c>
      <c r="J67" s="9">
        <v>1</v>
      </c>
      <c r="K67" s="9">
        <v>284</v>
      </c>
      <c r="L67" s="9">
        <v>2023</v>
      </c>
      <c r="M67" s="8" t="s">
        <v>507</v>
      </c>
      <c r="N67" s="8" t="s">
        <v>56</v>
      </c>
      <c r="O67" s="8" t="s">
        <v>57</v>
      </c>
      <c r="P67" s="6" t="s">
        <v>69</v>
      </c>
      <c r="Q67" s="8" t="s">
        <v>43</v>
      </c>
      <c r="R67" s="10" t="s">
        <v>508</v>
      </c>
      <c r="S67" s="11" t="s">
        <v>509</v>
      </c>
      <c r="T67" s="6"/>
      <c r="U67" s="27" t="str">
        <f>HYPERLINK("https://media.infra-m.ru/1998/1998811/cover/1998811.jpg", "Обложка")</f>
        <v>Обложка</v>
      </c>
      <c r="V67" s="27" t="str">
        <f>HYPERLINK("https://znanium.com/catalog/product/1998811", "Ознакомиться")</f>
        <v>Ознакомиться</v>
      </c>
      <c r="W67" s="8" t="s">
        <v>269</v>
      </c>
      <c r="X67" s="6"/>
      <c r="Y67" s="6"/>
      <c r="Z67" s="6"/>
      <c r="AA67" s="6" t="s">
        <v>510</v>
      </c>
    </row>
    <row r="68" spans="1:27" s="4" customFormat="1" ht="51.95" customHeight="1">
      <c r="A68" s="5">
        <v>0</v>
      </c>
      <c r="B68" s="6" t="s">
        <v>511</v>
      </c>
      <c r="C68" s="7">
        <v>540</v>
      </c>
      <c r="D68" s="8" t="s">
        <v>512</v>
      </c>
      <c r="E68" s="8" t="s">
        <v>513</v>
      </c>
      <c r="F68" s="8" t="s">
        <v>514</v>
      </c>
      <c r="G68" s="6" t="s">
        <v>37</v>
      </c>
      <c r="H68" s="6" t="s">
        <v>53</v>
      </c>
      <c r="I68" s="8" t="s">
        <v>114</v>
      </c>
      <c r="J68" s="9">
        <v>1</v>
      </c>
      <c r="K68" s="9">
        <v>154</v>
      </c>
      <c r="L68" s="9">
        <v>2020</v>
      </c>
      <c r="M68" s="8" t="s">
        <v>515</v>
      </c>
      <c r="N68" s="8" t="s">
        <v>56</v>
      </c>
      <c r="O68" s="8" t="s">
        <v>57</v>
      </c>
      <c r="P68" s="6" t="s">
        <v>116</v>
      </c>
      <c r="Q68" s="8" t="s">
        <v>81</v>
      </c>
      <c r="R68" s="10" t="s">
        <v>516</v>
      </c>
      <c r="S68" s="11"/>
      <c r="T68" s="6"/>
      <c r="U68" s="27" t="str">
        <f>HYPERLINK("https://media.infra-m.ru/1069/1069031/cover/1069031.jpg", "Обложка")</f>
        <v>Обложка</v>
      </c>
      <c r="V68" s="27" t="str">
        <f>HYPERLINK("https://znanium.com/catalog/product/1069031", "Ознакомиться")</f>
        <v>Ознакомиться</v>
      </c>
      <c r="W68" s="8" t="s">
        <v>517</v>
      </c>
      <c r="X68" s="6"/>
      <c r="Y68" s="6"/>
      <c r="Z68" s="6"/>
      <c r="AA68" s="6" t="s">
        <v>288</v>
      </c>
    </row>
    <row r="69" spans="1:27" s="4" customFormat="1" ht="42" customHeight="1">
      <c r="A69" s="5">
        <v>0</v>
      </c>
      <c r="B69" s="6" t="s">
        <v>518</v>
      </c>
      <c r="C69" s="7">
        <v>564.9</v>
      </c>
      <c r="D69" s="8" t="s">
        <v>519</v>
      </c>
      <c r="E69" s="8" t="s">
        <v>520</v>
      </c>
      <c r="F69" s="8" t="s">
        <v>521</v>
      </c>
      <c r="G69" s="6" t="s">
        <v>37</v>
      </c>
      <c r="H69" s="6" t="s">
        <v>53</v>
      </c>
      <c r="I69" s="8" t="s">
        <v>522</v>
      </c>
      <c r="J69" s="9">
        <v>1</v>
      </c>
      <c r="K69" s="9">
        <v>160</v>
      </c>
      <c r="L69" s="9">
        <v>2020</v>
      </c>
      <c r="M69" s="8" t="s">
        <v>523</v>
      </c>
      <c r="N69" s="8" t="s">
        <v>56</v>
      </c>
      <c r="O69" s="8" t="s">
        <v>57</v>
      </c>
      <c r="P69" s="6" t="s">
        <v>116</v>
      </c>
      <c r="Q69" s="8" t="s">
        <v>81</v>
      </c>
      <c r="R69" s="10"/>
      <c r="S69" s="11"/>
      <c r="T69" s="6"/>
      <c r="U69" s="27" t="str">
        <f>HYPERLINK("https://media.infra-m.ru/1044/1044618/cover/1044618.jpg", "Обложка")</f>
        <v>Обложка</v>
      </c>
      <c r="V69" s="12"/>
      <c r="W69" s="8" t="s">
        <v>524</v>
      </c>
      <c r="X69" s="6"/>
      <c r="Y69" s="6"/>
      <c r="Z69" s="6"/>
      <c r="AA69" s="6" t="s">
        <v>73</v>
      </c>
    </row>
    <row r="70" spans="1:27" s="4" customFormat="1" ht="51.95" customHeight="1">
      <c r="A70" s="5">
        <v>0</v>
      </c>
      <c r="B70" s="6" t="s">
        <v>525</v>
      </c>
      <c r="C70" s="13">
        <v>1320</v>
      </c>
      <c r="D70" s="8" t="s">
        <v>526</v>
      </c>
      <c r="E70" s="8" t="s">
        <v>527</v>
      </c>
      <c r="F70" s="8" t="s">
        <v>528</v>
      </c>
      <c r="G70" s="6" t="s">
        <v>67</v>
      </c>
      <c r="H70" s="6" t="s">
        <v>53</v>
      </c>
      <c r="I70" s="8" t="s">
        <v>54</v>
      </c>
      <c r="J70" s="9">
        <v>1</v>
      </c>
      <c r="K70" s="9">
        <v>286</v>
      </c>
      <c r="L70" s="9">
        <v>2024</v>
      </c>
      <c r="M70" s="8" t="s">
        <v>529</v>
      </c>
      <c r="N70" s="8" t="s">
        <v>56</v>
      </c>
      <c r="O70" s="8" t="s">
        <v>57</v>
      </c>
      <c r="P70" s="6" t="s">
        <v>42</v>
      </c>
      <c r="Q70" s="8" t="s">
        <v>43</v>
      </c>
      <c r="R70" s="10" t="s">
        <v>530</v>
      </c>
      <c r="S70" s="11" t="s">
        <v>531</v>
      </c>
      <c r="T70" s="6"/>
      <c r="U70" s="27" t="str">
        <f>HYPERLINK("https://media.infra-m.ru/2091/2091936/cover/2091936.jpg", "Обложка")</f>
        <v>Обложка</v>
      </c>
      <c r="V70" s="27" t="str">
        <f>HYPERLINK("https://znanium.com/catalog/product/2091936", "Ознакомиться")</f>
        <v>Ознакомиться</v>
      </c>
      <c r="W70" s="8" t="s">
        <v>216</v>
      </c>
      <c r="X70" s="6"/>
      <c r="Y70" s="6"/>
      <c r="Z70" s="6"/>
      <c r="AA70" s="6" t="s">
        <v>208</v>
      </c>
    </row>
    <row r="71" spans="1:27" s="4" customFormat="1" ht="42" customHeight="1">
      <c r="A71" s="5">
        <v>0</v>
      </c>
      <c r="B71" s="6" t="s">
        <v>532</v>
      </c>
      <c r="C71" s="13">
        <v>2240</v>
      </c>
      <c r="D71" s="8" t="s">
        <v>533</v>
      </c>
      <c r="E71" s="8" t="s">
        <v>534</v>
      </c>
      <c r="F71" s="8" t="s">
        <v>535</v>
      </c>
      <c r="G71" s="6" t="s">
        <v>67</v>
      </c>
      <c r="H71" s="6" t="s">
        <v>53</v>
      </c>
      <c r="I71" s="8" t="s">
        <v>536</v>
      </c>
      <c r="J71" s="9">
        <v>1</v>
      </c>
      <c r="K71" s="9">
        <v>383</v>
      </c>
      <c r="L71" s="9">
        <v>2021</v>
      </c>
      <c r="M71" s="8" t="s">
        <v>537</v>
      </c>
      <c r="N71" s="8" t="s">
        <v>56</v>
      </c>
      <c r="O71" s="8" t="s">
        <v>57</v>
      </c>
      <c r="P71" s="6" t="s">
        <v>42</v>
      </c>
      <c r="Q71" s="8" t="s">
        <v>150</v>
      </c>
      <c r="R71" s="10" t="s">
        <v>538</v>
      </c>
      <c r="S71" s="11"/>
      <c r="T71" s="6"/>
      <c r="U71" s="27" t="str">
        <f>HYPERLINK("https://media.infra-m.ru/1948/1948231/cover/1948231.jpg", "Обложка")</f>
        <v>Обложка</v>
      </c>
      <c r="V71" s="27" t="str">
        <f>HYPERLINK("https://znanium.com/catalog/product/1141773", "Ознакомиться")</f>
        <v>Ознакомиться</v>
      </c>
      <c r="W71" s="8" t="s">
        <v>539</v>
      </c>
      <c r="X71" s="6"/>
      <c r="Y71" s="6"/>
      <c r="Z71" s="6"/>
      <c r="AA71" s="6" t="s">
        <v>540</v>
      </c>
    </row>
    <row r="72" spans="1:27" s="4" customFormat="1" ht="51.95" customHeight="1">
      <c r="A72" s="5">
        <v>0</v>
      </c>
      <c r="B72" s="6" t="s">
        <v>541</v>
      </c>
      <c r="C72" s="13">
        <v>1840</v>
      </c>
      <c r="D72" s="8" t="s">
        <v>542</v>
      </c>
      <c r="E72" s="8" t="s">
        <v>543</v>
      </c>
      <c r="F72" s="8" t="s">
        <v>544</v>
      </c>
      <c r="G72" s="6" t="s">
        <v>67</v>
      </c>
      <c r="H72" s="6" t="s">
        <v>53</v>
      </c>
      <c r="I72" s="8" t="s">
        <v>165</v>
      </c>
      <c r="J72" s="9">
        <v>1</v>
      </c>
      <c r="K72" s="9">
        <v>409</v>
      </c>
      <c r="L72" s="9">
        <v>2022</v>
      </c>
      <c r="M72" s="8" t="s">
        <v>545</v>
      </c>
      <c r="N72" s="8" t="s">
        <v>56</v>
      </c>
      <c r="O72" s="8" t="s">
        <v>57</v>
      </c>
      <c r="P72" s="6" t="s">
        <v>42</v>
      </c>
      <c r="Q72" s="8" t="s">
        <v>43</v>
      </c>
      <c r="R72" s="10" t="s">
        <v>546</v>
      </c>
      <c r="S72" s="11" t="s">
        <v>547</v>
      </c>
      <c r="T72" s="6"/>
      <c r="U72" s="27" t="str">
        <f>HYPERLINK("https://media.infra-m.ru/1948/1948203/cover/1948203.jpg", "Обложка")</f>
        <v>Обложка</v>
      </c>
      <c r="V72" s="27" t="str">
        <f>HYPERLINK("https://znanium.com/catalog/product/1816804", "Ознакомиться")</f>
        <v>Ознакомиться</v>
      </c>
      <c r="W72" s="8" t="s">
        <v>351</v>
      </c>
      <c r="X72" s="6"/>
      <c r="Y72" s="6"/>
      <c r="Z72" s="6"/>
      <c r="AA72" s="6" t="s">
        <v>548</v>
      </c>
    </row>
    <row r="73" spans="1:27" s="4" customFormat="1" ht="51.95" customHeight="1">
      <c r="A73" s="5">
        <v>0</v>
      </c>
      <c r="B73" s="6" t="s">
        <v>549</v>
      </c>
      <c r="C73" s="13">
        <v>1300</v>
      </c>
      <c r="D73" s="8" t="s">
        <v>550</v>
      </c>
      <c r="E73" s="8" t="s">
        <v>551</v>
      </c>
      <c r="F73" s="8" t="s">
        <v>552</v>
      </c>
      <c r="G73" s="6" t="s">
        <v>67</v>
      </c>
      <c r="H73" s="6" t="s">
        <v>53</v>
      </c>
      <c r="I73" s="8" t="s">
        <v>165</v>
      </c>
      <c r="J73" s="9">
        <v>1</v>
      </c>
      <c r="K73" s="9">
        <v>289</v>
      </c>
      <c r="L73" s="9">
        <v>2022</v>
      </c>
      <c r="M73" s="8" t="s">
        <v>553</v>
      </c>
      <c r="N73" s="8" t="s">
        <v>56</v>
      </c>
      <c r="O73" s="8" t="s">
        <v>57</v>
      </c>
      <c r="P73" s="6" t="s">
        <v>69</v>
      </c>
      <c r="Q73" s="8" t="s">
        <v>43</v>
      </c>
      <c r="R73" s="10" t="s">
        <v>538</v>
      </c>
      <c r="S73" s="11" t="s">
        <v>554</v>
      </c>
      <c r="T73" s="6" t="s">
        <v>277</v>
      </c>
      <c r="U73" s="27" t="str">
        <f>HYPERLINK("https://media.infra-m.ru/1859/1859958/cover/1859958.jpg", "Обложка")</f>
        <v>Обложка</v>
      </c>
      <c r="V73" s="27" t="str">
        <f>HYPERLINK("https://znanium.com/catalog/product/1859958", "Ознакомиться")</f>
        <v>Ознакомиться</v>
      </c>
      <c r="W73" s="8" t="s">
        <v>118</v>
      </c>
      <c r="X73" s="6"/>
      <c r="Y73" s="6"/>
      <c r="Z73" s="6"/>
      <c r="AA73" s="6" t="s">
        <v>47</v>
      </c>
    </row>
    <row r="74" spans="1:27" s="4" customFormat="1" ht="51.95" customHeight="1">
      <c r="A74" s="5">
        <v>0</v>
      </c>
      <c r="B74" s="6" t="s">
        <v>555</v>
      </c>
      <c r="C74" s="13">
        <v>2174</v>
      </c>
      <c r="D74" s="8" t="s">
        <v>556</v>
      </c>
      <c r="E74" s="8" t="s">
        <v>551</v>
      </c>
      <c r="F74" s="8" t="s">
        <v>557</v>
      </c>
      <c r="G74" s="6" t="s">
        <v>67</v>
      </c>
      <c r="H74" s="6" t="s">
        <v>53</v>
      </c>
      <c r="I74" s="8" t="s">
        <v>165</v>
      </c>
      <c r="J74" s="9">
        <v>1</v>
      </c>
      <c r="K74" s="9">
        <v>468</v>
      </c>
      <c r="L74" s="9">
        <v>2024</v>
      </c>
      <c r="M74" s="8" t="s">
        <v>558</v>
      </c>
      <c r="N74" s="8" t="s">
        <v>56</v>
      </c>
      <c r="O74" s="8" t="s">
        <v>57</v>
      </c>
      <c r="P74" s="6" t="s">
        <v>69</v>
      </c>
      <c r="Q74" s="8" t="s">
        <v>43</v>
      </c>
      <c r="R74" s="10" t="s">
        <v>559</v>
      </c>
      <c r="S74" s="11" t="s">
        <v>560</v>
      </c>
      <c r="T74" s="6"/>
      <c r="U74" s="27" t="str">
        <f>HYPERLINK("https://media.infra-m.ru/2120/2120757/cover/2120757.jpg", "Обложка")</f>
        <v>Обложка</v>
      </c>
      <c r="V74" s="27" t="str">
        <f>HYPERLINK("https://znanium.com/catalog/product/1913810", "Ознакомиться")</f>
        <v>Ознакомиться</v>
      </c>
      <c r="W74" s="8" t="s">
        <v>72</v>
      </c>
      <c r="X74" s="6"/>
      <c r="Y74" s="6"/>
      <c r="Z74" s="6"/>
      <c r="AA74" s="6" t="s">
        <v>143</v>
      </c>
    </row>
    <row r="75" spans="1:27" s="4" customFormat="1" ht="44.1" customHeight="1">
      <c r="A75" s="5">
        <v>0</v>
      </c>
      <c r="B75" s="6" t="s">
        <v>561</v>
      </c>
      <c r="C75" s="7">
        <v>520</v>
      </c>
      <c r="D75" s="8" t="s">
        <v>562</v>
      </c>
      <c r="E75" s="8" t="s">
        <v>563</v>
      </c>
      <c r="F75" s="8" t="s">
        <v>564</v>
      </c>
      <c r="G75" s="6" t="s">
        <v>52</v>
      </c>
      <c r="H75" s="6" t="s">
        <v>98</v>
      </c>
      <c r="I75" s="8" t="s">
        <v>565</v>
      </c>
      <c r="J75" s="9">
        <v>1</v>
      </c>
      <c r="K75" s="9">
        <v>178</v>
      </c>
      <c r="L75" s="9">
        <v>2019</v>
      </c>
      <c r="M75" s="8" t="s">
        <v>566</v>
      </c>
      <c r="N75" s="8" t="s">
        <v>56</v>
      </c>
      <c r="O75" s="8" t="s">
        <v>57</v>
      </c>
      <c r="P75" s="6" t="s">
        <v>42</v>
      </c>
      <c r="Q75" s="8" t="s">
        <v>43</v>
      </c>
      <c r="R75" s="10" t="s">
        <v>567</v>
      </c>
      <c r="S75" s="11"/>
      <c r="T75" s="6"/>
      <c r="U75" s="27" t="str">
        <f>HYPERLINK("https://media.infra-m.ru/1002/1002051/cover/1002051.jpg", "Обложка")</f>
        <v>Обложка</v>
      </c>
      <c r="V75" s="27" t="str">
        <f>HYPERLINK("https://znanium.com/catalog/product/1002051", "Ознакомиться")</f>
        <v>Ознакомиться</v>
      </c>
      <c r="W75" s="8" t="s">
        <v>568</v>
      </c>
      <c r="X75" s="6"/>
      <c r="Y75" s="6"/>
      <c r="Z75" s="6"/>
      <c r="AA75" s="6" t="s">
        <v>201</v>
      </c>
    </row>
    <row r="76" spans="1:27" s="4" customFormat="1" ht="42" customHeight="1">
      <c r="A76" s="5">
        <v>0</v>
      </c>
      <c r="B76" s="6" t="s">
        <v>569</v>
      </c>
      <c r="C76" s="7">
        <v>590</v>
      </c>
      <c r="D76" s="8" t="s">
        <v>570</v>
      </c>
      <c r="E76" s="8" t="s">
        <v>571</v>
      </c>
      <c r="F76" s="8" t="s">
        <v>572</v>
      </c>
      <c r="G76" s="6" t="s">
        <v>52</v>
      </c>
      <c r="H76" s="6" t="s">
        <v>53</v>
      </c>
      <c r="I76" s="8" t="s">
        <v>114</v>
      </c>
      <c r="J76" s="9">
        <v>1</v>
      </c>
      <c r="K76" s="9">
        <v>156</v>
      </c>
      <c r="L76" s="9">
        <v>2022</v>
      </c>
      <c r="M76" s="8" t="s">
        <v>573</v>
      </c>
      <c r="N76" s="8" t="s">
        <v>56</v>
      </c>
      <c r="O76" s="8" t="s">
        <v>57</v>
      </c>
      <c r="P76" s="6" t="s">
        <v>116</v>
      </c>
      <c r="Q76" s="8" t="s">
        <v>81</v>
      </c>
      <c r="R76" s="10" t="s">
        <v>574</v>
      </c>
      <c r="S76" s="11"/>
      <c r="T76" s="6"/>
      <c r="U76" s="27" t="str">
        <f>HYPERLINK("https://media.infra-m.ru/1779/1779973/cover/1779973.jpg", "Обложка")</f>
        <v>Обложка</v>
      </c>
      <c r="V76" s="27" t="str">
        <f>HYPERLINK("https://znanium.com/catalog/product/1779973", "Ознакомиться")</f>
        <v>Ознакомиться</v>
      </c>
      <c r="W76" s="8" t="s">
        <v>575</v>
      </c>
      <c r="X76" s="6"/>
      <c r="Y76" s="6"/>
      <c r="Z76" s="6"/>
      <c r="AA76" s="6" t="s">
        <v>73</v>
      </c>
    </row>
    <row r="77" spans="1:27" s="4" customFormat="1" ht="51.95" customHeight="1">
      <c r="A77" s="5">
        <v>0</v>
      </c>
      <c r="B77" s="6" t="s">
        <v>576</v>
      </c>
      <c r="C77" s="7">
        <v>840</v>
      </c>
      <c r="D77" s="8" t="s">
        <v>577</v>
      </c>
      <c r="E77" s="8" t="s">
        <v>578</v>
      </c>
      <c r="F77" s="8" t="s">
        <v>579</v>
      </c>
      <c r="G77" s="6" t="s">
        <v>37</v>
      </c>
      <c r="H77" s="6" t="s">
        <v>53</v>
      </c>
      <c r="I77" s="8" t="s">
        <v>165</v>
      </c>
      <c r="J77" s="9">
        <v>1</v>
      </c>
      <c r="K77" s="9">
        <v>296</v>
      </c>
      <c r="L77" s="9">
        <v>2018</v>
      </c>
      <c r="M77" s="8" t="s">
        <v>580</v>
      </c>
      <c r="N77" s="8" t="s">
        <v>56</v>
      </c>
      <c r="O77" s="8" t="s">
        <v>57</v>
      </c>
      <c r="P77" s="6" t="s">
        <v>69</v>
      </c>
      <c r="Q77" s="8" t="s">
        <v>43</v>
      </c>
      <c r="R77" s="10" t="s">
        <v>581</v>
      </c>
      <c r="S77" s="11" t="s">
        <v>582</v>
      </c>
      <c r="T77" s="6" t="s">
        <v>277</v>
      </c>
      <c r="U77" s="27" t="str">
        <f>HYPERLINK("https://media.infra-m.ru/0958/0958348/cover/958348.jpg", "Обложка")</f>
        <v>Обложка</v>
      </c>
      <c r="V77" s="27" t="str">
        <f>HYPERLINK("https://znanium.com/catalog/product/2029858", "Ознакомиться")</f>
        <v>Ознакомиться</v>
      </c>
      <c r="W77" s="8" t="s">
        <v>583</v>
      </c>
      <c r="X77" s="6"/>
      <c r="Y77" s="6"/>
      <c r="Z77" s="6"/>
      <c r="AA77" s="6" t="s">
        <v>84</v>
      </c>
    </row>
    <row r="78" spans="1:27" s="4" customFormat="1" ht="51.95" customHeight="1">
      <c r="A78" s="5">
        <v>0</v>
      </c>
      <c r="B78" s="6" t="s">
        <v>584</v>
      </c>
      <c r="C78" s="13">
        <v>1770</v>
      </c>
      <c r="D78" s="8" t="s">
        <v>585</v>
      </c>
      <c r="E78" s="8" t="s">
        <v>586</v>
      </c>
      <c r="F78" s="8" t="s">
        <v>587</v>
      </c>
      <c r="G78" s="6" t="s">
        <v>67</v>
      </c>
      <c r="H78" s="6" t="s">
        <v>53</v>
      </c>
      <c r="I78" s="8" t="s">
        <v>54</v>
      </c>
      <c r="J78" s="9">
        <v>1</v>
      </c>
      <c r="K78" s="9">
        <v>384</v>
      </c>
      <c r="L78" s="9">
        <v>2024</v>
      </c>
      <c r="M78" s="8" t="s">
        <v>588</v>
      </c>
      <c r="N78" s="8" t="s">
        <v>56</v>
      </c>
      <c r="O78" s="8" t="s">
        <v>57</v>
      </c>
      <c r="P78" s="6" t="s">
        <v>42</v>
      </c>
      <c r="Q78" s="8" t="s">
        <v>43</v>
      </c>
      <c r="R78" s="10" t="s">
        <v>589</v>
      </c>
      <c r="S78" s="11" t="s">
        <v>590</v>
      </c>
      <c r="T78" s="6"/>
      <c r="U78" s="27" t="str">
        <f>HYPERLINK("https://media.infra-m.ru/2054/2054174/cover/2054174.jpg", "Обложка")</f>
        <v>Обложка</v>
      </c>
      <c r="V78" s="27" t="str">
        <f>HYPERLINK("https://znanium.com/catalog/product/2054174", "Ознакомиться")</f>
        <v>Ознакомиться</v>
      </c>
      <c r="W78" s="8" t="s">
        <v>591</v>
      </c>
      <c r="X78" s="6"/>
      <c r="Y78" s="6"/>
      <c r="Z78" s="6"/>
      <c r="AA78" s="6" t="s">
        <v>592</v>
      </c>
    </row>
    <row r="79" spans="1:27" s="4" customFormat="1" ht="42" customHeight="1">
      <c r="A79" s="5">
        <v>0</v>
      </c>
      <c r="B79" s="6" t="s">
        <v>593</v>
      </c>
      <c r="C79" s="7">
        <v>850</v>
      </c>
      <c r="D79" s="8" t="s">
        <v>594</v>
      </c>
      <c r="E79" s="8" t="s">
        <v>595</v>
      </c>
      <c r="F79" s="8" t="s">
        <v>596</v>
      </c>
      <c r="G79" s="6" t="s">
        <v>67</v>
      </c>
      <c r="H79" s="6" t="s">
        <v>597</v>
      </c>
      <c r="I79" s="8"/>
      <c r="J79" s="9">
        <v>1</v>
      </c>
      <c r="K79" s="9">
        <v>176</v>
      </c>
      <c r="L79" s="9">
        <v>2023</v>
      </c>
      <c r="M79" s="8" t="s">
        <v>598</v>
      </c>
      <c r="N79" s="8" t="s">
        <v>56</v>
      </c>
      <c r="O79" s="8" t="s">
        <v>57</v>
      </c>
      <c r="P79" s="6" t="s">
        <v>116</v>
      </c>
      <c r="Q79" s="8" t="s">
        <v>81</v>
      </c>
      <c r="R79" s="10" t="s">
        <v>599</v>
      </c>
      <c r="S79" s="11"/>
      <c r="T79" s="6"/>
      <c r="U79" s="27" t="str">
        <f>HYPERLINK("https://media.infra-m.ru/1977/1977972/cover/1977972.jpg", "Обложка")</f>
        <v>Обложка</v>
      </c>
      <c r="V79" s="27" t="str">
        <f>HYPERLINK("https://znanium.com/catalog/product/1977972", "Ознакомиться")</f>
        <v>Ознакомиться</v>
      </c>
      <c r="W79" s="8" t="s">
        <v>600</v>
      </c>
      <c r="X79" s="6"/>
      <c r="Y79" s="6"/>
      <c r="Z79" s="6"/>
      <c r="AA79" s="6" t="s">
        <v>601</v>
      </c>
    </row>
    <row r="80" spans="1:27" s="4" customFormat="1" ht="42" customHeight="1">
      <c r="A80" s="5">
        <v>0</v>
      </c>
      <c r="B80" s="6" t="s">
        <v>602</v>
      </c>
      <c r="C80" s="13">
        <v>1364.9</v>
      </c>
      <c r="D80" s="8" t="s">
        <v>603</v>
      </c>
      <c r="E80" s="8" t="s">
        <v>604</v>
      </c>
      <c r="F80" s="8" t="s">
        <v>605</v>
      </c>
      <c r="G80" s="6" t="s">
        <v>67</v>
      </c>
      <c r="H80" s="6" t="s">
        <v>53</v>
      </c>
      <c r="I80" s="8" t="s">
        <v>114</v>
      </c>
      <c r="J80" s="9">
        <v>1</v>
      </c>
      <c r="K80" s="9">
        <v>304</v>
      </c>
      <c r="L80" s="9">
        <v>2023</v>
      </c>
      <c r="M80" s="8" t="s">
        <v>606</v>
      </c>
      <c r="N80" s="8" t="s">
        <v>56</v>
      </c>
      <c r="O80" s="8" t="s">
        <v>57</v>
      </c>
      <c r="P80" s="6" t="s">
        <v>116</v>
      </c>
      <c r="Q80" s="8" t="s">
        <v>81</v>
      </c>
      <c r="R80" s="10" t="s">
        <v>538</v>
      </c>
      <c r="S80" s="11"/>
      <c r="T80" s="6"/>
      <c r="U80" s="27" t="str">
        <f>HYPERLINK("https://media.infra-m.ru/2002/2002614/cover/2002614.jpg", "Обложка")</f>
        <v>Обложка</v>
      </c>
      <c r="V80" s="27" t="str">
        <f>HYPERLINK("https://znanium.com/catalog/product/1039273", "Ознакомиться")</f>
        <v>Ознакомиться</v>
      </c>
      <c r="W80" s="8" t="s">
        <v>216</v>
      </c>
      <c r="X80" s="6"/>
      <c r="Y80" s="6"/>
      <c r="Z80" s="6"/>
      <c r="AA80" s="6" t="s">
        <v>288</v>
      </c>
    </row>
    <row r="81" spans="1:27" s="4" customFormat="1" ht="51.95" customHeight="1">
      <c r="A81" s="5">
        <v>0</v>
      </c>
      <c r="B81" s="6" t="s">
        <v>607</v>
      </c>
      <c r="C81" s="7">
        <v>514.9</v>
      </c>
      <c r="D81" s="8" t="s">
        <v>608</v>
      </c>
      <c r="E81" s="8" t="s">
        <v>609</v>
      </c>
      <c r="F81" s="8" t="s">
        <v>610</v>
      </c>
      <c r="G81" s="6" t="s">
        <v>52</v>
      </c>
      <c r="H81" s="6" t="s">
        <v>53</v>
      </c>
      <c r="I81" s="8" t="s">
        <v>165</v>
      </c>
      <c r="J81" s="9">
        <v>1</v>
      </c>
      <c r="K81" s="9">
        <v>151</v>
      </c>
      <c r="L81" s="9">
        <v>2020</v>
      </c>
      <c r="M81" s="8" t="s">
        <v>611</v>
      </c>
      <c r="N81" s="8" t="s">
        <v>56</v>
      </c>
      <c r="O81" s="8" t="s">
        <v>57</v>
      </c>
      <c r="P81" s="6" t="s">
        <v>42</v>
      </c>
      <c r="Q81" s="8" t="s">
        <v>43</v>
      </c>
      <c r="R81" s="10" t="s">
        <v>612</v>
      </c>
      <c r="S81" s="11" t="s">
        <v>613</v>
      </c>
      <c r="T81" s="6"/>
      <c r="U81" s="27" t="str">
        <f>HYPERLINK("https://media.infra-m.ru/1081/1081394/cover/1081394.jpg", "Обложка")</f>
        <v>Обложка</v>
      </c>
      <c r="V81" s="27" t="str">
        <f>HYPERLINK("https://znanium.com/catalog/product/1852210", "Ознакомиться")</f>
        <v>Ознакомиться</v>
      </c>
      <c r="W81" s="8" t="s">
        <v>614</v>
      </c>
      <c r="X81" s="6"/>
      <c r="Y81" s="6"/>
      <c r="Z81" s="6"/>
      <c r="AA81" s="6" t="s">
        <v>84</v>
      </c>
    </row>
    <row r="82" spans="1:27" s="4" customFormat="1" ht="42" customHeight="1">
      <c r="A82" s="5">
        <v>0</v>
      </c>
      <c r="B82" s="6" t="s">
        <v>615</v>
      </c>
      <c r="C82" s="7">
        <v>704.9</v>
      </c>
      <c r="D82" s="8" t="s">
        <v>616</v>
      </c>
      <c r="E82" s="8" t="s">
        <v>617</v>
      </c>
      <c r="F82" s="8" t="s">
        <v>605</v>
      </c>
      <c r="G82" s="6" t="s">
        <v>26</v>
      </c>
      <c r="H82" s="6" t="s">
        <v>53</v>
      </c>
      <c r="I82" s="8" t="s">
        <v>165</v>
      </c>
      <c r="J82" s="9">
        <v>1</v>
      </c>
      <c r="K82" s="9">
        <v>156</v>
      </c>
      <c r="L82" s="9">
        <v>2023</v>
      </c>
      <c r="M82" s="8" t="s">
        <v>618</v>
      </c>
      <c r="N82" s="8" t="s">
        <v>56</v>
      </c>
      <c r="O82" s="8" t="s">
        <v>57</v>
      </c>
      <c r="P82" s="6" t="s">
        <v>42</v>
      </c>
      <c r="Q82" s="8" t="s">
        <v>43</v>
      </c>
      <c r="R82" s="10" t="s">
        <v>530</v>
      </c>
      <c r="S82" s="11"/>
      <c r="T82" s="6" t="s">
        <v>277</v>
      </c>
      <c r="U82" s="27" t="str">
        <f>HYPERLINK("https://media.infra-m.ru/1897/1897685/cover/1897685.jpg", "Обложка")</f>
        <v>Обложка</v>
      </c>
      <c r="V82" s="27" t="str">
        <f>HYPERLINK("https://znanium.com/catalog/product/1233653", "Ознакомиться")</f>
        <v>Ознакомиться</v>
      </c>
      <c r="W82" s="8" t="s">
        <v>216</v>
      </c>
      <c r="X82" s="6"/>
      <c r="Y82" s="6"/>
      <c r="Z82" s="6"/>
      <c r="AA82" s="6" t="s">
        <v>84</v>
      </c>
    </row>
    <row r="83" spans="1:27" s="4" customFormat="1" ht="51.95" customHeight="1">
      <c r="A83" s="5">
        <v>0</v>
      </c>
      <c r="B83" s="6" t="s">
        <v>619</v>
      </c>
      <c r="C83" s="7">
        <v>820</v>
      </c>
      <c r="D83" s="8" t="s">
        <v>620</v>
      </c>
      <c r="E83" s="8" t="s">
        <v>621</v>
      </c>
      <c r="F83" s="8" t="s">
        <v>622</v>
      </c>
      <c r="G83" s="6" t="s">
        <v>52</v>
      </c>
      <c r="H83" s="6" t="s">
        <v>98</v>
      </c>
      <c r="I83" s="8" t="s">
        <v>114</v>
      </c>
      <c r="J83" s="9">
        <v>1</v>
      </c>
      <c r="K83" s="9">
        <v>227</v>
      </c>
      <c r="L83" s="9">
        <v>2019</v>
      </c>
      <c r="M83" s="8" t="s">
        <v>623</v>
      </c>
      <c r="N83" s="8" t="s">
        <v>56</v>
      </c>
      <c r="O83" s="8" t="s">
        <v>57</v>
      </c>
      <c r="P83" s="6" t="s">
        <v>116</v>
      </c>
      <c r="Q83" s="8" t="s">
        <v>81</v>
      </c>
      <c r="R83" s="10" t="s">
        <v>624</v>
      </c>
      <c r="S83" s="11"/>
      <c r="T83" s="6"/>
      <c r="U83" s="27" t="str">
        <f>HYPERLINK("https://media.infra-m.ru/0989/0989758/cover/989758.jpg", "Обложка")</f>
        <v>Обложка</v>
      </c>
      <c r="V83" s="27" t="str">
        <f>HYPERLINK("https://znanium.com/catalog/product/989758", "Ознакомиться")</f>
        <v>Ознакомиться</v>
      </c>
      <c r="W83" s="8" t="s">
        <v>625</v>
      </c>
      <c r="X83" s="6"/>
      <c r="Y83" s="6"/>
      <c r="Z83" s="6"/>
      <c r="AA83" s="6" t="s">
        <v>84</v>
      </c>
    </row>
    <row r="84" spans="1:27" s="4" customFormat="1" ht="51.95" customHeight="1">
      <c r="A84" s="5">
        <v>0</v>
      </c>
      <c r="B84" s="6" t="s">
        <v>626</v>
      </c>
      <c r="C84" s="13">
        <v>1350</v>
      </c>
      <c r="D84" s="8" t="s">
        <v>627</v>
      </c>
      <c r="E84" s="8" t="s">
        <v>628</v>
      </c>
      <c r="F84" s="8" t="s">
        <v>629</v>
      </c>
      <c r="G84" s="6" t="s">
        <v>67</v>
      </c>
      <c r="H84" s="6" t="s">
        <v>53</v>
      </c>
      <c r="I84" s="8" t="s">
        <v>148</v>
      </c>
      <c r="J84" s="9">
        <v>1</v>
      </c>
      <c r="K84" s="9">
        <v>301</v>
      </c>
      <c r="L84" s="9">
        <v>2023</v>
      </c>
      <c r="M84" s="8" t="s">
        <v>630</v>
      </c>
      <c r="N84" s="8" t="s">
        <v>56</v>
      </c>
      <c r="O84" s="8" t="s">
        <v>57</v>
      </c>
      <c r="P84" s="6" t="s">
        <v>69</v>
      </c>
      <c r="Q84" s="8" t="s">
        <v>150</v>
      </c>
      <c r="R84" s="10" t="s">
        <v>631</v>
      </c>
      <c r="S84" s="11" t="s">
        <v>632</v>
      </c>
      <c r="T84" s="6"/>
      <c r="U84" s="27" t="str">
        <f>HYPERLINK("https://media.infra-m.ru/1920/1920311/cover/1920311.jpg", "Обложка")</f>
        <v>Обложка</v>
      </c>
      <c r="V84" s="27" t="str">
        <f>HYPERLINK("https://znanium.com/catalog/product/1920311", "Ознакомиться")</f>
        <v>Ознакомиться</v>
      </c>
      <c r="W84" s="8" t="s">
        <v>118</v>
      </c>
      <c r="X84" s="6"/>
      <c r="Y84" s="6"/>
      <c r="Z84" s="6"/>
      <c r="AA84" s="6" t="s">
        <v>510</v>
      </c>
    </row>
    <row r="85" spans="1:27" s="4" customFormat="1" ht="51.95" customHeight="1">
      <c r="A85" s="5">
        <v>0</v>
      </c>
      <c r="B85" s="6" t="s">
        <v>633</v>
      </c>
      <c r="C85" s="7">
        <v>920</v>
      </c>
      <c r="D85" s="8" t="s">
        <v>634</v>
      </c>
      <c r="E85" s="8" t="s">
        <v>635</v>
      </c>
      <c r="F85" s="8" t="s">
        <v>636</v>
      </c>
      <c r="G85" s="6" t="s">
        <v>52</v>
      </c>
      <c r="H85" s="6" t="s">
        <v>53</v>
      </c>
      <c r="I85" s="8" t="s">
        <v>114</v>
      </c>
      <c r="J85" s="9">
        <v>1</v>
      </c>
      <c r="K85" s="9">
        <v>204</v>
      </c>
      <c r="L85" s="9">
        <v>2023</v>
      </c>
      <c r="M85" s="8" t="s">
        <v>637</v>
      </c>
      <c r="N85" s="8" t="s">
        <v>56</v>
      </c>
      <c r="O85" s="8" t="s">
        <v>57</v>
      </c>
      <c r="P85" s="6" t="s">
        <v>116</v>
      </c>
      <c r="Q85" s="8" t="s">
        <v>81</v>
      </c>
      <c r="R85" s="10" t="s">
        <v>638</v>
      </c>
      <c r="S85" s="11"/>
      <c r="T85" s="6" t="s">
        <v>277</v>
      </c>
      <c r="U85" s="27" t="str">
        <f>HYPERLINK("https://media.infra-m.ru/2038/2038259/cover/2038259.jpg", "Обложка")</f>
        <v>Обложка</v>
      </c>
      <c r="V85" s="27" t="str">
        <f>HYPERLINK("https://znanium.com/catalog/product/2038259", "Ознакомиться")</f>
        <v>Ознакомиться</v>
      </c>
      <c r="W85" s="8" t="s">
        <v>287</v>
      </c>
      <c r="X85" s="6"/>
      <c r="Y85" s="6"/>
      <c r="Z85" s="6"/>
      <c r="AA85" s="6" t="s">
        <v>639</v>
      </c>
    </row>
    <row r="86" spans="1:27" s="4" customFormat="1" ht="51.95" customHeight="1">
      <c r="A86" s="5">
        <v>0</v>
      </c>
      <c r="B86" s="6" t="s">
        <v>640</v>
      </c>
      <c r="C86" s="7">
        <v>620</v>
      </c>
      <c r="D86" s="8" t="s">
        <v>641</v>
      </c>
      <c r="E86" s="8" t="s">
        <v>642</v>
      </c>
      <c r="F86" s="8" t="s">
        <v>643</v>
      </c>
      <c r="G86" s="6" t="s">
        <v>52</v>
      </c>
      <c r="H86" s="6" t="s">
        <v>53</v>
      </c>
      <c r="I86" s="8" t="s">
        <v>165</v>
      </c>
      <c r="J86" s="9">
        <v>1</v>
      </c>
      <c r="K86" s="9">
        <v>136</v>
      </c>
      <c r="L86" s="9">
        <v>2022</v>
      </c>
      <c r="M86" s="8" t="s">
        <v>644</v>
      </c>
      <c r="N86" s="8" t="s">
        <v>56</v>
      </c>
      <c r="O86" s="8" t="s">
        <v>57</v>
      </c>
      <c r="P86" s="6" t="s">
        <v>645</v>
      </c>
      <c r="Q86" s="8" t="s">
        <v>43</v>
      </c>
      <c r="R86" s="10" t="s">
        <v>646</v>
      </c>
      <c r="S86" s="11" t="s">
        <v>647</v>
      </c>
      <c r="T86" s="6"/>
      <c r="U86" s="27" t="str">
        <f>HYPERLINK("https://media.infra-m.ru/1710/1710999/cover/1710999.jpg", "Обложка")</f>
        <v>Обложка</v>
      </c>
      <c r="V86" s="27" t="str">
        <f>HYPERLINK("https://znanium.com/catalog/product/1710999", "Ознакомиться")</f>
        <v>Ознакомиться</v>
      </c>
      <c r="W86" s="8" t="s">
        <v>648</v>
      </c>
      <c r="X86" s="6"/>
      <c r="Y86" s="6"/>
      <c r="Z86" s="6"/>
      <c r="AA86" s="6" t="s">
        <v>649</v>
      </c>
    </row>
    <row r="87" spans="1:27" s="4" customFormat="1" ht="51.95" customHeight="1">
      <c r="A87" s="5">
        <v>0</v>
      </c>
      <c r="B87" s="6" t="s">
        <v>650</v>
      </c>
      <c r="C87" s="7">
        <v>620</v>
      </c>
      <c r="D87" s="8" t="s">
        <v>651</v>
      </c>
      <c r="E87" s="8" t="s">
        <v>642</v>
      </c>
      <c r="F87" s="8" t="s">
        <v>643</v>
      </c>
      <c r="G87" s="6" t="s">
        <v>52</v>
      </c>
      <c r="H87" s="6" t="s">
        <v>53</v>
      </c>
      <c r="I87" s="8" t="s">
        <v>652</v>
      </c>
      <c r="J87" s="9">
        <v>1</v>
      </c>
      <c r="K87" s="9">
        <v>136</v>
      </c>
      <c r="L87" s="9">
        <v>2023</v>
      </c>
      <c r="M87" s="8" t="s">
        <v>653</v>
      </c>
      <c r="N87" s="8" t="s">
        <v>56</v>
      </c>
      <c r="O87" s="8" t="s">
        <v>57</v>
      </c>
      <c r="P87" s="6" t="s">
        <v>645</v>
      </c>
      <c r="Q87" s="8" t="s">
        <v>654</v>
      </c>
      <c r="R87" s="10" t="s">
        <v>655</v>
      </c>
      <c r="S87" s="11" t="s">
        <v>656</v>
      </c>
      <c r="T87" s="6"/>
      <c r="U87" s="27" t="str">
        <f>HYPERLINK("https://media.infra-m.ru/2008/2008751/cover/2008751.jpg", "Обложка")</f>
        <v>Обложка</v>
      </c>
      <c r="V87" s="27" t="str">
        <f>HYPERLINK("https://znanium.com/catalog/product/2008751", "Ознакомиться")</f>
        <v>Ознакомиться</v>
      </c>
      <c r="W87" s="8" t="s">
        <v>648</v>
      </c>
      <c r="X87" s="6"/>
      <c r="Y87" s="6"/>
      <c r="Z87" s="6" t="s">
        <v>657</v>
      </c>
      <c r="AA87" s="6" t="s">
        <v>658</v>
      </c>
    </row>
    <row r="88" spans="1:27" s="4" customFormat="1" ht="51.95" customHeight="1">
      <c r="A88" s="5">
        <v>0</v>
      </c>
      <c r="B88" s="6" t="s">
        <v>659</v>
      </c>
      <c r="C88" s="13">
        <v>1520</v>
      </c>
      <c r="D88" s="8" t="s">
        <v>660</v>
      </c>
      <c r="E88" s="8" t="s">
        <v>661</v>
      </c>
      <c r="F88" s="8" t="s">
        <v>662</v>
      </c>
      <c r="G88" s="6" t="s">
        <v>67</v>
      </c>
      <c r="H88" s="6" t="s">
        <v>53</v>
      </c>
      <c r="I88" s="8" t="s">
        <v>54</v>
      </c>
      <c r="J88" s="9">
        <v>1</v>
      </c>
      <c r="K88" s="9">
        <v>323</v>
      </c>
      <c r="L88" s="9">
        <v>2024</v>
      </c>
      <c r="M88" s="8" t="s">
        <v>663</v>
      </c>
      <c r="N88" s="8" t="s">
        <v>56</v>
      </c>
      <c r="O88" s="8" t="s">
        <v>57</v>
      </c>
      <c r="P88" s="6" t="s">
        <v>69</v>
      </c>
      <c r="Q88" s="8" t="s">
        <v>58</v>
      </c>
      <c r="R88" s="10" t="s">
        <v>664</v>
      </c>
      <c r="S88" s="11" t="s">
        <v>665</v>
      </c>
      <c r="T88" s="6"/>
      <c r="U88" s="27" t="str">
        <f>HYPERLINK("https://media.infra-m.ru/2108/2108575/cover/2108575.jpg", "Обложка")</f>
        <v>Обложка</v>
      </c>
      <c r="V88" s="27" t="str">
        <f>HYPERLINK("https://znanium.com/catalog/product/2108575", "Ознакомиться")</f>
        <v>Ознакомиться</v>
      </c>
      <c r="W88" s="8" t="s">
        <v>666</v>
      </c>
      <c r="X88" s="6"/>
      <c r="Y88" s="6"/>
      <c r="Z88" s="6"/>
      <c r="AA88" s="6" t="s">
        <v>226</v>
      </c>
    </row>
    <row r="89" spans="1:27" s="4" customFormat="1" ht="51.95" customHeight="1">
      <c r="A89" s="5">
        <v>0</v>
      </c>
      <c r="B89" s="6" t="s">
        <v>667</v>
      </c>
      <c r="C89" s="7">
        <v>399.9</v>
      </c>
      <c r="D89" s="8" t="s">
        <v>668</v>
      </c>
      <c r="E89" s="8" t="s">
        <v>669</v>
      </c>
      <c r="F89" s="8" t="s">
        <v>670</v>
      </c>
      <c r="G89" s="6" t="s">
        <v>52</v>
      </c>
      <c r="H89" s="6" t="s">
        <v>98</v>
      </c>
      <c r="I89" s="8" t="s">
        <v>148</v>
      </c>
      <c r="J89" s="9">
        <v>1</v>
      </c>
      <c r="K89" s="9">
        <v>146</v>
      </c>
      <c r="L89" s="9">
        <v>2017</v>
      </c>
      <c r="M89" s="8" t="s">
        <v>671</v>
      </c>
      <c r="N89" s="8" t="s">
        <v>56</v>
      </c>
      <c r="O89" s="8" t="s">
        <v>57</v>
      </c>
      <c r="P89" s="6" t="s">
        <v>42</v>
      </c>
      <c r="Q89" s="8" t="s">
        <v>150</v>
      </c>
      <c r="R89" s="10" t="s">
        <v>672</v>
      </c>
      <c r="S89" s="11"/>
      <c r="T89" s="6"/>
      <c r="U89" s="27" t="str">
        <f>HYPERLINK("https://media.infra-m.ru/0672/0672802/cover/672802.jpg", "Обложка")</f>
        <v>Обложка</v>
      </c>
      <c r="V89" s="27" t="str">
        <f>HYPERLINK("https://znanium.com/catalog/product/908134", "Ознакомиться")</f>
        <v>Ознакомиться</v>
      </c>
      <c r="W89" s="8" t="s">
        <v>487</v>
      </c>
      <c r="X89" s="6"/>
      <c r="Y89" s="6"/>
      <c r="Z89" s="6"/>
      <c r="AA89" s="6" t="s">
        <v>288</v>
      </c>
    </row>
    <row r="90" spans="1:27" s="4" customFormat="1" ht="51.95" customHeight="1">
      <c r="A90" s="5">
        <v>0</v>
      </c>
      <c r="B90" s="6" t="s">
        <v>673</v>
      </c>
      <c r="C90" s="7">
        <v>760</v>
      </c>
      <c r="D90" s="8" t="s">
        <v>674</v>
      </c>
      <c r="E90" s="8" t="s">
        <v>675</v>
      </c>
      <c r="F90" s="8" t="s">
        <v>670</v>
      </c>
      <c r="G90" s="6" t="s">
        <v>52</v>
      </c>
      <c r="H90" s="6" t="s">
        <v>98</v>
      </c>
      <c r="I90" s="8" t="s">
        <v>54</v>
      </c>
      <c r="J90" s="9">
        <v>1</v>
      </c>
      <c r="K90" s="9">
        <v>162</v>
      </c>
      <c r="L90" s="9">
        <v>2023</v>
      </c>
      <c r="M90" s="8" t="s">
        <v>676</v>
      </c>
      <c r="N90" s="8" t="s">
        <v>56</v>
      </c>
      <c r="O90" s="8" t="s">
        <v>57</v>
      </c>
      <c r="P90" s="6" t="s">
        <v>42</v>
      </c>
      <c r="Q90" s="8" t="s">
        <v>150</v>
      </c>
      <c r="R90" s="10" t="s">
        <v>672</v>
      </c>
      <c r="S90" s="11"/>
      <c r="T90" s="6"/>
      <c r="U90" s="27" t="str">
        <f>HYPERLINK("https://media.infra-m.ru/2002/2002627/cover/2002627.jpg", "Обложка")</f>
        <v>Обложка</v>
      </c>
      <c r="V90" s="27" t="str">
        <f>HYPERLINK("https://znanium.com/catalog/product/908134", "Ознакомиться")</f>
        <v>Ознакомиться</v>
      </c>
      <c r="W90" s="8" t="s">
        <v>487</v>
      </c>
      <c r="X90" s="6"/>
      <c r="Y90" s="6"/>
      <c r="Z90" s="6"/>
      <c r="AA90" s="6" t="s">
        <v>425</v>
      </c>
    </row>
    <row r="91" spans="1:27" s="4" customFormat="1" ht="51.95" customHeight="1">
      <c r="A91" s="5">
        <v>0</v>
      </c>
      <c r="B91" s="6" t="s">
        <v>677</v>
      </c>
      <c r="C91" s="7">
        <v>750</v>
      </c>
      <c r="D91" s="8" t="s">
        <v>678</v>
      </c>
      <c r="E91" s="8" t="s">
        <v>679</v>
      </c>
      <c r="F91" s="8" t="s">
        <v>680</v>
      </c>
      <c r="G91" s="6" t="s">
        <v>67</v>
      </c>
      <c r="H91" s="6" t="s">
        <v>38</v>
      </c>
      <c r="I91" s="8" t="s">
        <v>54</v>
      </c>
      <c r="J91" s="9">
        <v>1</v>
      </c>
      <c r="K91" s="9">
        <v>160</v>
      </c>
      <c r="L91" s="9">
        <v>2024</v>
      </c>
      <c r="M91" s="8" t="s">
        <v>681</v>
      </c>
      <c r="N91" s="8" t="s">
        <v>56</v>
      </c>
      <c r="O91" s="8" t="s">
        <v>57</v>
      </c>
      <c r="P91" s="6" t="s">
        <v>42</v>
      </c>
      <c r="Q91" s="8" t="s">
        <v>43</v>
      </c>
      <c r="R91" s="10" t="s">
        <v>682</v>
      </c>
      <c r="S91" s="11" t="s">
        <v>683</v>
      </c>
      <c r="T91" s="6"/>
      <c r="U91" s="27" t="str">
        <f>HYPERLINK("https://media.infra-m.ru/1899/1899859/cover/1899859.jpg", "Обложка")</f>
        <v>Обложка</v>
      </c>
      <c r="V91" s="27" t="str">
        <f>HYPERLINK("https://znanium.com/catalog/product/1899859", "Ознакомиться")</f>
        <v>Ознакомиться</v>
      </c>
      <c r="W91" s="8" t="s">
        <v>684</v>
      </c>
      <c r="X91" s="6"/>
      <c r="Y91" s="6"/>
      <c r="Z91" s="6"/>
      <c r="AA91" s="6" t="s">
        <v>47</v>
      </c>
    </row>
    <row r="92" spans="1:27" s="4" customFormat="1" ht="51.95" customHeight="1">
      <c r="A92" s="5">
        <v>0</v>
      </c>
      <c r="B92" s="6" t="s">
        <v>685</v>
      </c>
      <c r="C92" s="7">
        <v>874</v>
      </c>
      <c r="D92" s="8" t="s">
        <v>686</v>
      </c>
      <c r="E92" s="8" t="s">
        <v>679</v>
      </c>
      <c r="F92" s="8" t="s">
        <v>687</v>
      </c>
      <c r="G92" s="6" t="s">
        <v>37</v>
      </c>
      <c r="H92" s="6" t="s">
        <v>53</v>
      </c>
      <c r="I92" s="8" t="s">
        <v>165</v>
      </c>
      <c r="J92" s="9">
        <v>1</v>
      </c>
      <c r="K92" s="9">
        <v>190</v>
      </c>
      <c r="L92" s="9">
        <v>2024</v>
      </c>
      <c r="M92" s="8" t="s">
        <v>688</v>
      </c>
      <c r="N92" s="8" t="s">
        <v>56</v>
      </c>
      <c r="O92" s="8" t="s">
        <v>57</v>
      </c>
      <c r="P92" s="6" t="s">
        <v>42</v>
      </c>
      <c r="Q92" s="8" t="s">
        <v>43</v>
      </c>
      <c r="R92" s="10" t="s">
        <v>689</v>
      </c>
      <c r="S92" s="11" t="s">
        <v>690</v>
      </c>
      <c r="T92" s="6"/>
      <c r="U92" s="27" t="str">
        <f>HYPERLINK("https://media.infra-m.ru/2107/2107380/cover/2107380.jpg", "Обложка")</f>
        <v>Обложка</v>
      </c>
      <c r="V92" s="27" t="str">
        <f>HYPERLINK("https://znanium.com/catalog/product/1819407", "Ознакомиться")</f>
        <v>Ознакомиться</v>
      </c>
      <c r="W92" s="8" t="s">
        <v>691</v>
      </c>
      <c r="X92" s="6"/>
      <c r="Y92" s="6"/>
      <c r="Z92" s="6"/>
      <c r="AA92" s="6" t="s">
        <v>540</v>
      </c>
    </row>
    <row r="93" spans="1:27" s="4" customFormat="1" ht="51.95" customHeight="1">
      <c r="A93" s="5">
        <v>0</v>
      </c>
      <c r="B93" s="6" t="s">
        <v>692</v>
      </c>
      <c r="C93" s="7">
        <v>194.9</v>
      </c>
      <c r="D93" s="8" t="s">
        <v>693</v>
      </c>
      <c r="E93" s="8" t="s">
        <v>694</v>
      </c>
      <c r="F93" s="8" t="s">
        <v>695</v>
      </c>
      <c r="G93" s="6" t="s">
        <v>52</v>
      </c>
      <c r="H93" s="6" t="s">
        <v>98</v>
      </c>
      <c r="I93" s="8"/>
      <c r="J93" s="9">
        <v>1</v>
      </c>
      <c r="K93" s="9">
        <v>120</v>
      </c>
      <c r="L93" s="9">
        <v>2018</v>
      </c>
      <c r="M93" s="8" t="s">
        <v>696</v>
      </c>
      <c r="N93" s="8" t="s">
        <v>56</v>
      </c>
      <c r="O93" s="8" t="s">
        <v>57</v>
      </c>
      <c r="P93" s="6" t="s">
        <v>42</v>
      </c>
      <c r="Q93" s="8" t="s">
        <v>43</v>
      </c>
      <c r="R93" s="10" t="s">
        <v>697</v>
      </c>
      <c r="S93" s="11"/>
      <c r="T93" s="6"/>
      <c r="U93" s="27" t="str">
        <f>HYPERLINK("https://media.infra-m.ru/0927/0927383/cover/927383.jpg", "Обложка")</f>
        <v>Обложка</v>
      </c>
      <c r="V93" s="27" t="str">
        <f>HYPERLINK("https://znanium.com/catalog/product/927383", "Ознакомиться")</f>
        <v>Ознакомиться</v>
      </c>
      <c r="W93" s="8" t="s">
        <v>698</v>
      </c>
      <c r="X93" s="6"/>
      <c r="Y93" s="6"/>
      <c r="Z93" s="6"/>
      <c r="AA93" s="6" t="s">
        <v>699</v>
      </c>
    </row>
    <row r="94" spans="1:27" s="4" customFormat="1" ht="51.95" customHeight="1">
      <c r="A94" s="5">
        <v>0</v>
      </c>
      <c r="B94" s="6" t="s">
        <v>700</v>
      </c>
      <c r="C94" s="7">
        <v>760</v>
      </c>
      <c r="D94" s="8" t="s">
        <v>701</v>
      </c>
      <c r="E94" s="8" t="s">
        <v>702</v>
      </c>
      <c r="F94" s="8" t="s">
        <v>703</v>
      </c>
      <c r="G94" s="6" t="s">
        <v>52</v>
      </c>
      <c r="H94" s="6" t="s">
        <v>98</v>
      </c>
      <c r="I94" s="8" t="s">
        <v>704</v>
      </c>
      <c r="J94" s="9">
        <v>1</v>
      </c>
      <c r="K94" s="9">
        <v>161</v>
      </c>
      <c r="L94" s="9">
        <v>2024</v>
      </c>
      <c r="M94" s="8" t="s">
        <v>705</v>
      </c>
      <c r="N94" s="8" t="s">
        <v>56</v>
      </c>
      <c r="O94" s="8" t="s">
        <v>57</v>
      </c>
      <c r="P94" s="6" t="s">
        <v>42</v>
      </c>
      <c r="Q94" s="8" t="s">
        <v>81</v>
      </c>
      <c r="R94" s="10" t="s">
        <v>706</v>
      </c>
      <c r="S94" s="11"/>
      <c r="T94" s="6"/>
      <c r="U94" s="27" t="str">
        <f>HYPERLINK("https://media.infra-m.ru/2107/2107301/cover/2107301.jpg", "Обложка")</f>
        <v>Обложка</v>
      </c>
      <c r="V94" s="27" t="str">
        <f>HYPERLINK("https://znanium.com/catalog/product/2107301", "Ознакомиться")</f>
        <v>Ознакомиться</v>
      </c>
      <c r="W94" s="8" t="s">
        <v>118</v>
      </c>
      <c r="X94" s="6"/>
      <c r="Y94" s="6"/>
      <c r="Z94" s="6"/>
      <c r="AA94" s="6" t="s">
        <v>201</v>
      </c>
    </row>
    <row r="95" spans="1:27" s="4" customFormat="1" ht="51.95" customHeight="1">
      <c r="A95" s="5">
        <v>0</v>
      </c>
      <c r="B95" s="6" t="s">
        <v>707</v>
      </c>
      <c r="C95" s="13">
        <v>1760</v>
      </c>
      <c r="D95" s="8" t="s">
        <v>708</v>
      </c>
      <c r="E95" s="8" t="s">
        <v>709</v>
      </c>
      <c r="F95" s="8" t="s">
        <v>710</v>
      </c>
      <c r="G95" s="6" t="s">
        <v>67</v>
      </c>
      <c r="H95" s="6" t="s">
        <v>53</v>
      </c>
      <c r="I95" s="8" t="s">
        <v>165</v>
      </c>
      <c r="J95" s="9">
        <v>1</v>
      </c>
      <c r="K95" s="9">
        <v>393</v>
      </c>
      <c r="L95" s="9">
        <v>2021</v>
      </c>
      <c r="M95" s="8" t="s">
        <v>711</v>
      </c>
      <c r="N95" s="8" t="s">
        <v>56</v>
      </c>
      <c r="O95" s="8" t="s">
        <v>57</v>
      </c>
      <c r="P95" s="6" t="s">
        <v>69</v>
      </c>
      <c r="Q95" s="8" t="s">
        <v>43</v>
      </c>
      <c r="R95" s="10" t="s">
        <v>712</v>
      </c>
      <c r="S95" s="11" t="s">
        <v>713</v>
      </c>
      <c r="T95" s="6" t="s">
        <v>277</v>
      </c>
      <c r="U95" s="27" t="str">
        <f>HYPERLINK("https://media.infra-m.ru/1246/1246687/cover/1246687.jpg", "Обложка")</f>
        <v>Обложка</v>
      </c>
      <c r="V95" s="27" t="str">
        <f>HYPERLINK("https://znanium.com/catalog/product/1907620", "Ознакомиться")</f>
        <v>Ознакомиться</v>
      </c>
      <c r="W95" s="8" t="s">
        <v>714</v>
      </c>
      <c r="X95" s="6"/>
      <c r="Y95" s="6"/>
      <c r="Z95" s="6"/>
      <c r="AA95" s="6" t="s">
        <v>715</v>
      </c>
    </row>
    <row r="96" spans="1:27" s="4" customFormat="1" ht="51.95" customHeight="1">
      <c r="A96" s="5">
        <v>0</v>
      </c>
      <c r="B96" s="6" t="s">
        <v>716</v>
      </c>
      <c r="C96" s="13">
        <v>1244.9000000000001</v>
      </c>
      <c r="D96" s="8" t="s">
        <v>717</v>
      </c>
      <c r="E96" s="8" t="s">
        <v>718</v>
      </c>
      <c r="F96" s="8" t="s">
        <v>719</v>
      </c>
      <c r="G96" s="6" t="s">
        <v>37</v>
      </c>
      <c r="H96" s="6" t="s">
        <v>53</v>
      </c>
      <c r="I96" s="8" t="s">
        <v>165</v>
      </c>
      <c r="J96" s="9">
        <v>1</v>
      </c>
      <c r="K96" s="9">
        <v>364</v>
      </c>
      <c r="L96" s="9">
        <v>2019</v>
      </c>
      <c r="M96" s="8" t="s">
        <v>720</v>
      </c>
      <c r="N96" s="8" t="s">
        <v>56</v>
      </c>
      <c r="O96" s="8" t="s">
        <v>57</v>
      </c>
      <c r="P96" s="6" t="s">
        <v>69</v>
      </c>
      <c r="Q96" s="8" t="s">
        <v>43</v>
      </c>
      <c r="R96" s="10" t="s">
        <v>712</v>
      </c>
      <c r="S96" s="11" t="s">
        <v>721</v>
      </c>
      <c r="T96" s="6" t="s">
        <v>277</v>
      </c>
      <c r="U96" s="27" t="str">
        <f>HYPERLINK("https://media.infra-m.ru/0991/0991884/cover/991884.jpg", "Обложка")</f>
        <v>Обложка</v>
      </c>
      <c r="V96" s="27" t="str">
        <f>HYPERLINK("https://znanium.com/catalog/product/1907620", "Ознакомиться")</f>
        <v>Ознакомиться</v>
      </c>
      <c r="W96" s="8" t="s">
        <v>714</v>
      </c>
      <c r="X96" s="6"/>
      <c r="Y96" s="6"/>
      <c r="Z96" s="6"/>
      <c r="AA96" s="6" t="s">
        <v>722</v>
      </c>
    </row>
    <row r="97" spans="1:27" s="4" customFormat="1" ht="44.1" customHeight="1">
      <c r="A97" s="5">
        <v>0</v>
      </c>
      <c r="B97" s="6" t="s">
        <v>723</v>
      </c>
      <c r="C97" s="13">
        <v>1850</v>
      </c>
      <c r="D97" s="8" t="s">
        <v>724</v>
      </c>
      <c r="E97" s="8" t="s">
        <v>725</v>
      </c>
      <c r="F97" s="8" t="s">
        <v>710</v>
      </c>
      <c r="G97" s="6" t="s">
        <v>37</v>
      </c>
      <c r="H97" s="6" t="s">
        <v>53</v>
      </c>
      <c r="I97" s="8" t="s">
        <v>54</v>
      </c>
      <c r="J97" s="9">
        <v>1</v>
      </c>
      <c r="K97" s="9">
        <v>403</v>
      </c>
      <c r="L97" s="9">
        <v>2023</v>
      </c>
      <c r="M97" s="8" t="s">
        <v>726</v>
      </c>
      <c r="N97" s="8" t="s">
        <v>56</v>
      </c>
      <c r="O97" s="8" t="s">
        <v>57</v>
      </c>
      <c r="P97" s="6" t="s">
        <v>69</v>
      </c>
      <c r="Q97" s="8" t="s">
        <v>43</v>
      </c>
      <c r="R97" s="10" t="s">
        <v>712</v>
      </c>
      <c r="S97" s="11"/>
      <c r="T97" s="6" t="s">
        <v>277</v>
      </c>
      <c r="U97" s="27" t="str">
        <f>HYPERLINK("https://media.infra-m.ru/1907/1907620/cover/1907620.jpg", "Обложка")</f>
        <v>Обложка</v>
      </c>
      <c r="V97" s="27" t="str">
        <f>HYPERLINK("https://znanium.com/catalog/product/1907620", "Ознакомиться")</f>
        <v>Ознакомиться</v>
      </c>
      <c r="W97" s="8" t="s">
        <v>714</v>
      </c>
      <c r="X97" s="6" t="s">
        <v>727</v>
      </c>
      <c r="Y97" s="6"/>
      <c r="Z97" s="6"/>
      <c r="AA97" s="6" t="s">
        <v>728</v>
      </c>
    </row>
    <row r="98" spans="1:27" s="4" customFormat="1" ht="51.95" customHeight="1">
      <c r="A98" s="5">
        <v>0</v>
      </c>
      <c r="B98" s="6" t="s">
        <v>729</v>
      </c>
      <c r="C98" s="7">
        <v>870</v>
      </c>
      <c r="D98" s="8" t="s">
        <v>730</v>
      </c>
      <c r="E98" s="8" t="s">
        <v>731</v>
      </c>
      <c r="F98" s="8" t="s">
        <v>732</v>
      </c>
      <c r="G98" s="6" t="s">
        <v>67</v>
      </c>
      <c r="H98" s="6" t="s">
        <v>597</v>
      </c>
      <c r="I98" s="8"/>
      <c r="J98" s="9">
        <v>1</v>
      </c>
      <c r="K98" s="9">
        <v>208</v>
      </c>
      <c r="L98" s="9">
        <v>2022</v>
      </c>
      <c r="M98" s="8" t="s">
        <v>733</v>
      </c>
      <c r="N98" s="8" t="s">
        <v>56</v>
      </c>
      <c r="O98" s="8" t="s">
        <v>57</v>
      </c>
      <c r="P98" s="6" t="s">
        <v>233</v>
      </c>
      <c r="Q98" s="8" t="s">
        <v>81</v>
      </c>
      <c r="R98" s="10" t="s">
        <v>734</v>
      </c>
      <c r="S98" s="11"/>
      <c r="T98" s="6"/>
      <c r="U98" s="27" t="str">
        <f>HYPERLINK("https://media.infra-m.ru/1876/1876624/cover/1876624.jpg", "Обложка")</f>
        <v>Обложка</v>
      </c>
      <c r="V98" s="27" t="str">
        <f>HYPERLINK("https://znanium.com/catalog/product/1876624", "Ознакомиться")</f>
        <v>Ознакомиться</v>
      </c>
      <c r="W98" s="8" t="s">
        <v>735</v>
      </c>
      <c r="X98" s="6"/>
      <c r="Y98" s="6"/>
      <c r="Z98" s="6"/>
      <c r="AA98" s="6" t="s">
        <v>73</v>
      </c>
    </row>
    <row r="99" spans="1:27" s="4" customFormat="1" ht="51.95" customHeight="1">
      <c r="A99" s="5">
        <v>0</v>
      </c>
      <c r="B99" s="6" t="s">
        <v>736</v>
      </c>
      <c r="C99" s="7">
        <v>434.9</v>
      </c>
      <c r="D99" s="8" t="s">
        <v>737</v>
      </c>
      <c r="E99" s="8" t="s">
        <v>738</v>
      </c>
      <c r="F99" s="8" t="s">
        <v>739</v>
      </c>
      <c r="G99" s="6" t="s">
        <v>52</v>
      </c>
      <c r="H99" s="6" t="s">
        <v>53</v>
      </c>
      <c r="I99" s="8" t="s">
        <v>114</v>
      </c>
      <c r="J99" s="9">
        <v>1</v>
      </c>
      <c r="K99" s="9">
        <v>140</v>
      </c>
      <c r="L99" s="9">
        <v>2018</v>
      </c>
      <c r="M99" s="8" t="s">
        <v>740</v>
      </c>
      <c r="N99" s="8" t="s">
        <v>56</v>
      </c>
      <c r="O99" s="8" t="s">
        <v>57</v>
      </c>
      <c r="P99" s="6" t="s">
        <v>116</v>
      </c>
      <c r="Q99" s="8" t="s">
        <v>81</v>
      </c>
      <c r="R99" s="10" t="s">
        <v>741</v>
      </c>
      <c r="S99" s="11"/>
      <c r="T99" s="6"/>
      <c r="U99" s="27" t="str">
        <f>HYPERLINK("https://media.infra-m.ru/0926/0926492/cover/926492.jpg", "Обложка")</f>
        <v>Обложка</v>
      </c>
      <c r="V99" s="27" t="str">
        <f>HYPERLINK("https://znanium.com/catalog/product/1033099", "Ознакомиться")</f>
        <v>Ознакомиться</v>
      </c>
      <c r="W99" s="8" t="s">
        <v>742</v>
      </c>
      <c r="X99" s="6"/>
      <c r="Y99" s="6"/>
      <c r="Z99" s="6"/>
      <c r="AA99" s="6" t="s">
        <v>47</v>
      </c>
    </row>
    <row r="100" spans="1:27" s="4" customFormat="1" ht="51.95" customHeight="1">
      <c r="A100" s="5">
        <v>0</v>
      </c>
      <c r="B100" s="6" t="s">
        <v>743</v>
      </c>
      <c r="C100" s="13">
        <v>1154.9000000000001</v>
      </c>
      <c r="D100" s="8" t="s">
        <v>744</v>
      </c>
      <c r="E100" s="8" t="s">
        <v>745</v>
      </c>
      <c r="F100" s="8" t="s">
        <v>746</v>
      </c>
      <c r="G100" s="6" t="s">
        <v>37</v>
      </c>
      <c r="H100" s="6" t="s">
        <v>53</v>
      </c>
      <c r="I100" s="8" t="s">
        <v>165</v>
      </c>
      <c r="J100" s="9">
        <v>1</v>
      </c>
      <c r="K100" s="9">
        <v>304</v>
      </c>
      <c r="L100" s="9">
        <v>2022</v>
      </c>
      <c r="M100" s="8" t="s">
        <v>747</v>
      </c>
      <c r="N100" s="8" t="s">
        <v>56</v>
      </c>
      <c r="O100" s="8" t="s">
        <v>57</v>
      </c>
      <c r="P100" s="6" t="s">
        <v>42</v>
      </c>
      <c r="Q100" s="8" t="s">
        <v>43</v>
      </c>
      <c r="R100" s="10" t="s">
        <v>349</v>
      </c>
      <c r="S100" s="11" t="s">
        <v>748</v>
      </c>
      <c r="T100" s="6" t="s">
        <v>277</v>
      </c>
      <c r="U100" s="27" t="str">
        <f>HYPERLINK("https://media.infra-m.ru/1844/1844307/cover/1844307.jpg", "Обложка")</f>
        <v>Обложка</v>
      </c>
      <c r="V100" s="27" t="str">
        <f>HYPERLINK("https://znanium.com/catalog/product/1844307", "Ознакомиться")</f>
        <v>Ознакомиться</v>
      </c>
      <c r="W100" s="8" t="s">
        <v>691</v>
      </c>
      <c r="X100" s="6"/>
      <c r="Y100" s="6"/>
      <c r="Z100" s="6"/>
      <c r="AA100" s="6" t="s">
        <v>47</v>
      </c>
    </row>
    <row r="101" spans="1:27" s="4" customFormat="1" ht="42" customHeight="1">
      <c r="A101" s="5">
        <v>0</v>
      </c>
      <c r="B101" s="6" t="s">
        <v>749</v>
      </c>
      <c r="C101" s="7">
        <v>650</v>
      </c>
      <c r="D101" s="8" t="s">
        <v>750</v>
      </c>
      <c r="E101" s="8" t="s">
        <v>751</v>
      </c>
      <c r="F101" s="8" t="s">
        <v>752</v>
      </c>
      <c r="G101" s="6" t="s">
        <v>52</v>
      </c>
      <c r="H101" s="6" t="s">
        <v>53</v>
      </c>
      <c r="I101" s="8" t="s">
        <v>114</v>
      </c>
      <c r="J101" s="9">
        <v>1</v>
      </c>
      <c r="K101" s="9">
        <v>135</v>
      </c>
      <c r="L101" s="9">
        <v>2022</v>
      </c>
      <c r="M101" s="8" t="s">
        <v>753</v>
      </c>
      <c r="N101" s="8" t="s">
        <v>56</v>
      </c>
      <c r="O101" s="8" t="s">
        <v>57</v>
      </c>
      <c r="P101" s="6" t="s">
        <v>116</v>
      </c>
      <c r="Q101" s="8" t="s">
        <v>81</v>
      </c>
      <c r="R101" s="10" t="s">
        <v>754</v>
      </c>
      <c r="S101" s="11"/>
      <c r="T101" s="6"/>
      <c r="U101" s="27" t="str">
        <f>HYPERLINK("https://media.infra-m.ru/1872/1872859/cover/1872859.jpg", "Обложка")</f>
        <v>Обложка</v>
      </c>
      <c r="V101" s="27" t="str">
        <f>HYPERLINK("https://znanium.com/catalog/product/1872859", "Ознакомиться")</f>
        <v>Ознакомиться</v>
      </c>
      <c r="W101" s="8" t="s">
        <v>755</v>
      </c>
      <c r="X101" s="6"/>
      <c r="Y101" s="6"/>
      <c r="Z101" s="6"/>
      <c r="AA101" s="6" t="s">
        <v>226</v>
      </c>
    </row>
    <row r="102" spans="1:27" s="4" customFormat="1" ht="51.95" customHeight="1">
      <c r="A102" s="5">
        <v>0</v>
      </c>
      <c r="B102" s="6" t="s">
        <v>756</v>
      </c>
      <c r="C102" s="7">
        <v>340</v>
      </c>
      <c r="D102" s="8" t="s">
        <v>757</v>
      </c>
      <c r="E102" s="8" t="s">
        <v>758</v>
      </c>
      <c r="F102" s="8" t="s">
        <v>759</v>
      </c>
      <c r="G102" s="6" t="s">
        <v>52</v>
      </c>
      <c r="H102" s="6" t="s">
        <v>53</v>
      </c>
      <c r="I102" s="8" t="s">
        <v>760</v>
      </c>
      <c r="J102" s="9">
        <v>1</v>
      </c>
      <c r="K102" s="9">
        <v>128</v>
      </c>
      <c r="L102" s="9">
        <v>2018</v>
      </c>
      <c r="M102" s="8" t="s">
        <v>761</v>
      </c>
      <c r="N102" s="8" t="s">
        <v>56</v>
      </c>
      <c r="O102" s="8" t="s">
        <v>57</v>
      </c>
      <c r="P102" s="6" t="s">
        <v>762</v>
      </c>
      <c r="Q102" s="8" t="s">
        <v>763</v>
      </c>
      <c r="R102" s="10" t="s">
        <v>764</v>
      </c>
      <c r="S102" s="11"/>
      <c r="T102" s="6"/>
      <c r="U102" s="27" t="str">
        <f>HYPERLINK("https://media.infra-m.ru/0942/0942740/cover/942740.jpg", "Обложка")</f>
        <v>Обложка</v>
      </c>
      <c r="V102" s="27" t="str">
        <f>HYPERLINK("https://znanium.com/catalog/product/2102720", "Ознакомиться")</f>
        <v>Ознакомиться</v>
      </c>
      <c r="W102" s="8" t="s">
        <v>765</v>
      </c>
      <c r="X102" s="6"/>
      <c r="Y102" s="6"/>
      <c r="Z102" s="6"/>
      <c r="AA102" s="6" t="s">
        <v>766</v>
      </c>
    </row>
    <row r="103" spans="1:27" s="4" customFormat="1" ht="42" customHeight="1">
      <c r="A103" s="5">
        <v>0</v>
      </c>
      <c r="B103" s="6" t="s">
        <v>767</v>
      </c>
      <c r="C103" s="7">
        <v>550</v>
      </c>
      <c r="D103" s="8" t="s">
        <v>768</v>
      </c>
      <c r="E103" s="8" t="s">
        <v>769</v>
      </c>
      <c r="F103" s="8" t="s">
        <v>770</v>
      </c>
      <c r="G103" s="6" t="s">
        <v>52</v>
      </c>
      <c r="H103" s="6" t="s">
        <v>597</v>
      </c>
      <c r="I103" s="8"/>
      <c r="J103" s="9">
        <v>1</v>
      </c>
      <c r="K103" s="9">
        <v>160</v>
      </c>
      <c r="L103" s="9">
        <v>2019</v>
      </c>
      <c r="M103" s="8" t="s">
        <v>771</v>
      </c>
      <c r="N103" s="8" t="s">
        <v>56</v>
      </c>
      <c r="O103" s="8" t="s">
        <v>57</v>
      </c>
      <c r="P103" s="6" t="s">
        <v>116</v>
      </c>
      <c r="Q103" s="8" t="s">
        <v>81</v>
      </c>
      <c r="R103" s="10" t="s">
        <v>599</v>
      </c>
      <c r="S103" s="11"/>
      <c r="T103" s="6"/>
      <c r="U103" s="27" t="str">
        <f>HYPERLINK("https://media.infra-m.ru/1005/1005639/cover/1005639.jpg", "Обложка")</f>
        <v>Обложка</v>
      </c>
      <c r="V103" s="27" t="str">
        <f>HYPERLINK("https://znanium.com/catalog/product/1005639", "Ознакомиться")</f>
        <v>Ознакомиться</v>
      </c>
      <c r="W103" s="8" t="s">
        <v>772</v>
      </c>
      <c r="X103" s="6"/>
      <c r="Y103" s="6"/>
      <c r="Z103" s="6"/>
      <c r="AA103" s="6" t="s">
        <v>73</v>
      </c>
    </row>
    <row r="104" spans="1:27" s="4" customFormat="1" ht="44.1" customHeight="1">
      <c r="A104" s="5">
        <v>0</v>
      </c>
      <c r="B104" s="6" t="s">
        <v>773</v>
      </c>
      <c r="C104" s="7">
        <v>944.9</v>
      </c>
      <c r="D104" s="8" t="s">
        <v>774</v>
      </c>
      <c r="E104" s="8" t="s">
        <v>775</v>
      </c>
      <c r="F104" s="8" t="s">
        <v>776</v>
      </c>
      <c r="G104" s="6" t="s">
        <v>37</v>
      </c>
      <c r="H104" s="6" t="s">
        <v>38</v>
      </c>
      <c r="I104" s="8"/>
      <c r="J104" s="9">
        <v>1</v>
      </c>
      <c r="K104" s="9">
        <v>224</v>
      </c>
      <c r="L104" s="9">
        <v>2022</v>
      </c>
      <c r="M104" s="8" t="s">
        <v>777</v>
      </c>
      <c r="N104" s="8" t="s">
        <v>56</v>
      </c>
      <c r="O104" s="8" t="s">
        <v>57</v>
      </c>
      <c r="P104" s="6" t="s">
        <v>42</v>
      </c>
      <c r="Q104" s="8" t="s">
        <v>43</v>
      </c>
      <c r="R104" s="10" t="s">
        <v>778</v>
      </c>
      <c r="S104" s="11"/>
      <c r="T104" s="6"/>
      <c r="U104" s="27" t="str">
        <f>HYPERLINK("https://media.infra-m.ru/1873/1873273/cover/1873273.jpg", "Обложка")</f>
        <v>Обложка</v>
      </c>
      <c r="V104" s="27" t="str">
        <f>HYPERLINK("https://znanium.com/catalog/product/1290479", "Ознакомиться")</f>
        <v>Ознакомиться</v>
      </c>
      <c r="W104" s="8" t="s">
        <v>46</v>
      </c>
      <c r="X104" s="6"/>
      <c r="Y104" s="6"/>
      <c r="Z104" s="6"/>
      <c r="AA104" s="6" t="s">
        <v>84</v>
      </c>
    </row>
    <row r="105" spans="1:27" s="4" customFormat="1" ht="51.95" customHeight="1">
      <c r="A105" s="5">
        <v>0</v>
      </c>
      <c r="B105" s="6" t="s">
        <v>779</v>
      </c>
      <c r="C105" s="13">
        <v>1994.9</v>
      </c>
      <c r="D105" s="8" t="s">
        <v>780</v>
      </c>
      <c r="E105" s="8" t="s">
        <v>781</v>
      </c>
      <c r="F105" s="8" t="s">
        <v>782</v>
      </c>
      <c r="G105" s="6" t="s">
        <v>52</v>
      </c>
      <c r="H105" s="6" t="s">
        <v>385</v>
      </c>
      <c r="I105" s="8" t="s">
        <v>783</v>
      </c>
      <c r="J105" s="9">
        <v>1</v>
      </c>
      <c r="K105" s="9">
        <v>396</v>
      </c>
      <c r="L105" s="9">
        <v>2023</v>
      </c>
      <c r="M105" s="8" t="s">
        <v>784</v>
      </c>
      <c r="N105" s="8" t="s">
        <v>56</v>
      </c>
      <c r="O105" s="8" t="s">
        <v>57</v>
      </c>
      <c r="P105" s="6" t="s">
        <v>42</v>
      </c>
      <c r="Q105" s="8" t="s">
        <v>785</v>
      </c>
      <c r="R105" s="10" t="s">
        <v>786</v>
      </c>
      <c r="S105" s="11"/>
      <c r="T105" s="6" t="s">
        <v>277</v>
      </c>
      <c r="U105" s="27" t="str">
        <f>HYPERLINK("https://media.infra-m.ru/1913/1913007/cover/1913007.jpg", "Обложка")</f>
        <v>Обложка</v>
      </c>
      <c r="V105" s="27" t="str">
        <f>HYPERLINK("https://znanium.com/catalog/product/1015052", "Ознакомиться")</f>
        <v>Ознакомиться</v>
      </c>
      <c r="W105" s="8" t="s">
        <v>46</v>
      </c>
      <c r="X105" s="6"/>
      <c r="Y105" s="6"/>
      <c r="Z105" s="6"/>
      <c r="AA105" s="6" t="s">
        <v>84</v>
      </c>
    </row>
    <row r="106" spans="1:27" s="4" customFormat="1" ht="51.95" customHeight="1">
      <c r="A106" s="5">
        <v>0</v>
      </c>
      <c r="B106" s="6" t="s">
        <v>787</v>
      </c>
      <c r="C106" s="7">
        <v>984.9</v>
      </c>
      <c r="D106" s="8" t="s">
        <v>788</v>
      </c>
      <c r="E106" s="8" t="s">
        <v>789</v>
      </c>
      <c r="F106" s="8" t="s">
        <v>790</v>
      </c>
      <c r="G106" s="6" t="s">
        <v>37</v>
      </c>
      <c r="H106" s="6" t="s">
        <v>53</v>
      </c>
      <c r="I106" s="8" t="s">
        <v>760</v>
      </c>
      <c r="J106" s="9">
        <v>1</v>
      </c>
      <c r="K106" s="9">
        <v>299</v>
      </c>
      <c r="L106" s="9">
        <v>2020</v>
      </c>
      <c r="M106" s="8" t="s">
        <v>791</v>
      </c>
      <c r="N106" s="8" t="s">
        <v>56</v>
      </c>
      <c r="O106" s="8" t="s">
        <v>57</v>
      </c>
      <c r="P106" s="6" t="s">
        <v>792</v>
      </c>
      <c r="Q106" s="8" t="s">
        <v>763</v>
      </c>
      <c r="R106" s="10" t="s">
        <v>793</v>
      </c>
      <c r="S106" s="11" t="s">
        <v>794</v>
      </c>
      <c r="T106" s="6" t="s">
        <v>277</v>
      </c>
      <c r="U106" s="27" t="str">
        <f>HYPERLINK("https://media.infra-m.ru/1088/1088225/cover/1088225.jpg", "Обложка")</f>
        <v>Обложка</v>
      </c>
      <c r="V106" s="27" t="str">
        <f>HYPERLINK("https://znanium.com/catalog/product/2039894", "Ознакомиться")</f>
        <v>Ознакомиться</v>
      </c>
      <c r="W106" s="8" t="s">
        <v>287</v>
      </c>
      <c r="X106" s="6"/>
      <c r="Y106" s="6"/>
      <c r="Z106" s="6"/>
      <c r="AA106" s="6" t="s">
        <v>795</v>
      </c>
    </row>
    <row r="107" spans="1:27" s="4" customFormat="1" ht="51.95" customHeight="1">
      <c r="A107" s="5">
        <v>0</v>
      </c>
      <c r="B107" s="6" t="s">
        <v>796</v>
      </c>
      <c r="C107" s="13">
        <v>1270</v>
      </c>
      <c r="D107" s="8" t="s">
        <v>797</v>
      </c>
      <c r="E107" s="8" t="s">
        <v>798</v>
      </c>
      <c r="F107" s="8" t="s">
        <v>97</v>
      </c>
      <c r="G107" s="6" t="s">
        <v>67</v>
      </c>
      <c r="H107" s="6" t="s">
        <v>53</v>
      </c>
      <c r="I107" s="8" t="s">
        <v>760</v>
      </c>
      <c r="J107" s="9">
        <v>1</v>
      </c>
      <c r="K107" s="9">
        <v>282</v>
      </c>
      <c r="L107" s="9">
        <v>2023</v>
      </c>
      <c r="M107" s="8" t="s">
        <v>799</v>
      </c>
      <c r="N107" s="8" t="s">
        <v>56</v>
      </c>
      <c r="O107" s="8" t="s">
        <v>57</v>
      </c>
      <c r="P107" s="6" t="s">
        <v>80</v>
      </c>
      <c r="Q107" s="8" t="s">
        <v>763</v>
      </c>
      <c r="R107" s="10" t="s">
        <v>793</v>
      </c>
      <c r="S107" s="11" t="s">
        <v>800</v>
      </c>
      <c r="T107" s="6" t="s">
        <v>277</v>
      </c>
      <c r="U107" s="27" t="str">
        <f>HYPERLINK("https://media.infra-m.ru/2039/2039894/cover/2039894.jpg", "Обложка")</f>
        <v>Обложка</v>
      </c>
      <c r="V107" s="27" t="str">
        <f>HYPERLINK("https://znanium.com/catalog/product/2039894", "Ознакомиться")</f>
        <v>Ознакомиться</v>
      </c>
      <c r="W107" s="8" t="s">
        <v>287</v>
      </c>
      <c r="X107" s="6"/>
      <c r="Y107" s="6"/>
      <c r="Z107" s="6"/>
      <c r="AA107" s="6" t="s">
        <v>294</v>
      </c>
    </row>
    <row r="108" spans="1:27" s="4" customFormat="1" ht="44.1" customHeight="1">
      <c r="A108" s="5">
        <v>0</v>
      </c>
      <c r="B108" s="6" t="s">
        <v>801</v>
      </c>
      <c r="C108" s="7">
        <v>380</v>
      </c>
      <c r="D108" s="8" t="s">
        <v>802</v>
      </c>
      <c r="E108" s="8" t="s">
        <v>803</v>
      </c>
      <c r="F108" s="8" t="s">
        <v>804</v>
      </c>
      <c r="G108" s="6" t="s">
        <v>52</v>
      </c>
      <c r="H108" s="6" t="s">
        <v>53</v>
      </c>
      <c r="I108" s="8" t="s">
        <v>114</v>
      </c>
      <c r="J108" s="9">
        <v>1</v>
      </c>
      <c r="K108" s="9">
        <v>110</v>
      </c>
      <c r="L108" s="9">
        <v>2019</v>
      </c>
      <c r="M108" s="8" t="s">
        <v>805</v>
      </c>
      <c r="N108" s="8" t="s">
        <v>56</v>
      </c>
      <c r="O108" s="8" t="s">
        <v>57</v>
      </c>
      <c r="P108" s="6" t="s">
        <v>116</v>
      </c>
      <c r="Q108" s="8" t="s">
        <v>81</v>
      </c>
      <c r="R108" s="10" t="s">
        <v>480</v>
      </c>
      <c r="S108" s="11"/>
      <c r="T108" s="6"/>
      <c r="U108" s="27" t="str">
        <f>HYPERLINK("https://media.infra-m.ru/1003/1003259/cover/1003259.jpg", "Обложка")</f>
        <v>Обложка</v>
      </c>
      <c r="V108" s="27" t="str">
        <f>HYPERLINK("https://znanium.com/catalog/product/521521", "Ознакомиться")</f>
        <v>Ознакомиться</v>
      </c>
      <c r="W108" s="8" t="s">
        <v>287</v>
      </c>
      <c r="X108" s="6"/>
      <c r="Y108" s="6"/>
      <c r="Z108" s="6"/>
      <c r="AA108" s="6" t="s">
        <v>253</v>
      </c>
    </row>
    <row r="109" spans="1:27" s="4" customFormat="1" ht="51.95" customHeight="1">
      <c r="A109" s="5">
        <v>0</v>
      </c>
      <c r="B109" s="6" t="s">
        <v>806</v>
      </c>
      <c r="C109" s="13">
        <v>1024.9000000000001</v>
      </c>
      <c r="D109" s="8" t="s">
        <v>807</v>
      </c>
      <c r="E109" s="8" t="s">
        <v>808</v>
      </c>
      <c r="F109" s="8" t="s">
        <v>809</v>
      </c>
      <c r="G109" s="6" t="s">
        <v>37</v>
      </c>
      <c r="H109" s="6" t="s">
        <v>53</v>
      </c>
      <c r="I109" s="8" t="s">
        <v>165</v>
      </c>
      <c r="J109" s="9">
        <v>1</v>
      </c>
      <c r="K109" s="9">
        <v>302</v>
      </c>
      <c r="L109" s="9">
        <v>2020</v>
      </c>
      <c r="M109" s="8" t="s">
        <v>810</v>
      </c>
      <c r="N109" s="8" t="s">
        <v>56</v>
      </c>
      <c r="O109" s="8" t="s">
        <v>57</v>
      </c>
      <c r="P109" s="6" t="s">
        <v>42</v>
      </c>
      <c r="Q109" s="8" t="s">
        <v>43</v>
      </c>
      <c r="R109" s="10" t="s">
        <v>811</v>
      </c>
      <c r="S109" s="11" t="s">
        <v>812</v>
      </c>
      <c r="T109" s="6" t="s">
        <v>277</v>
      </c>
      <c r="U109" s="27" t="str">
        <f>HYPERLINK("https://media.infra-m.ru/1072/1072260/cover/1072260.jpg", "Обложка")</f>
        <v>Обложка</v>
      </c>
      <c r="V109" s="27" t="str">
        <f>HYPERLINK("https://znanium.com/catalog/product/1072260", "Ознакомиться")</f>
        <v>Ознакомиться</v>
      </c>
      <c r="W109" s="8" t="s">
        <v>714</v>
      </c>
      <c r="X109" s="6"/>
      <c r="Y109" s="6"/>
      <c r="Z109" s="6"/>
      <c r="AA109" s="6" t="s">
        <v>417</v>
      </c>
    </row>
    <row r="110" spans="1:27" s="4" customFormat="1" ht="51.95" customHeight="1">
      <c r="A110" s="5">
        <v>0</v>
      </c>
      <c r="B110" s="6" t="s">
        <v>813</v>
      </c>
      <c r="C110" s="13">
        <v>1400</v>
      </c>
      <c r="D110" s="8" t="s">
        <v>814</v>
      </c>
      <c r="E110" s="8" t="s">
        <v>815</v>
      </c>
      <c r="F110" s="8" t="s">
        <v>816</v>
      </c>
      <c r="G110" s="6" t="s">
        <v>67</v>
      </c>
      <c r="H110" s="6" t="s">
        <v>53</v>
      </c>
      <c r="I110" s="8" t="s">
        <v>165</v>
      </c>
      <c r="J110" s="9">
        <v>1</v>
      </c>
      <c r="K110" s="9">
        <v>304</v>
      </c>
      <c r="L110" s="9">
        <v>2023</v>
      </c>
      <c r="M110" s="8" t="s">
        <v>817</v>
      </c>
      <c r="N110" s="8" t="s">
        <v>56</v>
      </c>
      <c r="O110" s="8" t="s">
        <v>57</v>
      </c>
      <c r="P110" s="6" t="s">
        <v>42</v>
      </c>
      <c r="Q110" s="8" t="s">
        <v>43</v>
      </c>
      <c r="R110" s="10" t="s">
        <v>818</v>
      </c>
      <c r="S110" s="11" t="s">
        <v>819</v>
      </c>
      <c r="T110" s="6" t="s">
        <v>277</v>
      </c>
      <c r="U110" s="27" t="str">
        <f>HYPERLINK("https://media.infra-m.ru/1906/1906701/cover/1906701.jpg", "Обложка")</f>
        <v>Обложка</v>
      </c>
      <c r="V110" s="27" t="str">
        <f>HYPERLINK("https://znanium.com/catalog/product/1906701", "Ознакомиться")</f>
        <v>Ознакомиться</v>
      </c>
      <c r="W110" s="8" t="s">
        <v>714</v>
      </c>
      <c r="X110" s="6"/>
      <c r="Y110" s="6"/>
      <c r="Z110" s="6"/>
      <c r="AA110" s="6" t="s">
        <v>463</v>
      </c>
    </row>
    <row r="111" spans="1:27" s="4" customFormat="1" ht="51.95" customHeight="1">
      <c r="A111" s="5">
        <v>0</v>
      </c>
      <c r="B111" s="6" t="s">
        <v>820</v>
      </c>
      <c r="C111" s="13">
        <v>1050</v>
      </c>
      <c r="D111" s="8" t="s">
        <v>821</v>
      </c>
      <c r="E111" s="8" t="s">
        <v>822</v>
      </c>
      <c r="F111" s="8" t="s">
        <v>823</v>
      </c>
      <c r="G111" s="6" t="s">
        <v>67</v>
      </c>
      <c r="H111" s="6" t="s">
        <v>53</v>
      </c>
      <c r="I111" s="8" t="s">
        <v>165</v>
      </c>
      <c r="J111" s="9">
        <v>1</v>
      </c>
      <c r="K111" s="9">
        <v>234</v>
      </c>
      <c r="L111" s="9">
        <v>2019</v>
      </c>
      <c r="M111" s="8" t="s">
        <v>824</v>
      </c>
      <c r="N111" s="8" t="s">
        <v>56</v>
      </c>
      <c r="O111" s="8" t="s">
        <v>57</v>
      </c>
      <c r="P111" s="6" t="s">
        <v>42</v>
      </c>
      <c r="Q111" s="8" t="s">
        <v>43</v>
      </c>
      <c r="R111" s="10" t="s">
        <v>825</v>
      </c>
      <c r="S111" s="11" t="s">
        <v>826</v>
      </c>
      <c r="T111" s="6" t="s">
        <v>277</v>
      </c>
      <c r="U111" s="27" t="str">
        <f>HYPERLINK("https://media.infra-m.ru/1942/1942690/cover/1942690.jpg", "Обложка")</f>
        <v>Обложка</v>
      </c>
      <c r="V111" s="27" t="str">
        <f>HYPERLINK("https://znanium.com/catalog/product/1007087", "Ознакомиться")</f>
        <v>Ознакомиться</v>
      </c>
      <c r="W111" s="8" t="s">
        <v>827</v>
      </c>
      <c r="X111" s="6"/>
      <c r="Y111" s="6"/>
      <c r="Z111" s="6"/>
      <c r="AA111" s="6" t="s">
        <v>84</v>
      </c>
    </row>
    <row r="112" spans="1:27" s="4" customFormat="1" ht="42" customHeight="1">
      <c r="A112" s="5">
        <v>0</v>
      </c>
      <c r="B112" s="6" t="s">
        <v>828</v>
      </c>
      <c r="C112" s="7">
        <v>304.89999999999998</v>
      </c>
      <c r="D112" s="8" t="s">
        <v>829</v>
      </c>
      <c r="E112" s="8" t="s">
        <v>830</v>
      </c>
      <c r="F112" s="8" t="s">
        <v>831</v>
      </c>
      <c r="G112" s="6" t="s">
        <v>52</v>
      </c>
      <c r="H112" s="6" t="s">
        <v>98</v>
      </c>
      <c r="I112" s="8" t="s">
        <v>832</v>
      </c>
      <c r="J112" s="9">
        <v>1</v>
      </c>
      <c r="K112" s="9">
        <v>138</v>
      </c>
      <c r="L112" s="9">
        <v>2020</v>
      </c>
      <c r="M112" s="8" t="s">
        <v>833</v>
      </c>
      <c r="N112" s="8" t="s">
        <v>56</v>
      </c>
      <c r="O112" s="8" t="s">
        <v>57</v>
      </c>
      <c r="P112" s="6" t="s">
        <v>42</v>
      </c>
      <c r="Q112" s="8" t="s">
        <v>43</v>
      </c>
      <c r="R112" s="10" t="s">
        <v>834</v>
      </c>
      <c r="S112" s="11"/>
      <c r="T112" s="6"/>
      <c r="U112" s="27" t="str">
        <f>HYPERLINK("https://media.infra-m.ru/1068/1068804/cover/1068804.jpg", "Обложка")</f>
        <v>Обложка</v>
      </c>
      <c r="V112" s="27" t="str">
        <f>HYPERLINK("https://znanium.com/catalog/product/927448", "Ознакомиться")</f>
        <v>Ознакомиться</v>
      </c>
      <c r="W112" s="8"/>
      <c r="X112" s="6"/>
      <c r="Y112" s="6"/>
      <c r="Z112" s="6"/>
      <c r="AA112" s="6" t="s">
        <v>548</v>
      </c>
    </row>
    <row r="113" spans="1:27" s="4" customFormat="1" ht="51.95" customHeight="1">
      <c r="A113" s="5">
        <v>0</v>
      </c>
      <c r="B113" s="6" t="s">
        <v>835</v>
      </c>
      <c r="C113" s="7">
        <v>870</v>
      </c>
      <c r="D113" s="8" t="s">
        <v>836</v>
      </c>
      <c r="E113" s="8" t="s">
        <v>837</v>
      </c>
      <c r="F113" s="8" t="s">
        <v>838</v>
      </c>
      <c r="G113" s="6" t="s">
        <v>67</v>
      </c>
      <c r="H113" s="6" t="s">
        <v>53</v>
      </c>
      <c r="I113" s="8" t="s">
        <v>165</v>
      </c>
      <c r="J113" s="9">
        <v>1</v>
      </c>
      <c r="K113" s="9">
        <v>193</v>
      </c>
      <c r="L113" s="9">
        <v>2022</v>
      </c>
      <c r="M113" s="8" t="s">
        <v>839</v>
      </c>
      <c r="N113" s="8" t="s">
        <v>56</v>
      </c>
      <c r="O113" s="8" t="s">
        <v>57</v>
      </c>
      <c r="P113" s="6" t="s">
        <v>42</v>
      </c>
      <c r="Q113" s="8" t="s">
        <v>43</v>
      </c>
      <c r="R113" s="10" t="s">
        <v>207</v>
      </c>
      <c r="S113" s="11" t="s">
        <v>840</v>
      </c>
      <c r="T113" s="6"/>
      <c r="U113" s="27" t="str">
        <f>HYPERLINK("https://media.infra-m.ru/1869/1869370/cover/1869370.jpg", "Обложка")</f>
        <v>Обложка</v>
      </c>
      <c r="V113" s="27" t="str">
        <f>HYPERLINK("https://znanium.com/catalog/product/1869370", "Ознакомиться")</f>
        <v>Ознакомиться</v>
      </c>
      <c r="W113" s="8" t="s">
        <v>841</v>
      </c>
      <c r="X113" s="6"/>
      <c r="Y113" s="6"/>
      <c r="Z113" s="6"/>
      <c r="AA113" s="6" t="s">
        <v>242</v>
      </c>
    </row>
    <row r="114" spans="1:27" s="4" customFormat="1" ht="51.95" customHeight="1">
      <c r="A114" s="5">
        <v>0</v>
      </c>
      <c r="B114" s="6" t="s">
        <v>842</v>
      </c>
      <c r="C114" s="7">
        <v>674.9</v>
      </c>
      <c r="D114" s="8" t="s">
        <v>843</v>
      </c>
      <c r="E114" s="8" t="s">
        <v>844</v>
      </c>
      <c r="F114" s="8" t="s">
        <v>845</v>
      </c>
      <c r="G114" s="6" t="s">
        <v>37</v>
      </c>
      <c r="H114" s="6" t="s">
        <v>104</v>
      </c>
      <c r="I114" s="8"/>
      <c r="J114" s="9">
        <v>1</v>
      </c>
      <c r="K114" s="9">
        <v>208</v>
      </c>
      <c r="L114" s="9">
        <v>2019</v>
      </c>
      <c r="M114" s="8" t="s">
        <v>846</v>
      </c>
      <c r="N114" s="8" t="s">
        <v>56</v>
      </c>
      <c r="O114" s="8" t="s">
        <v>57</v>
      </c>
      <c r="P114" s="6" t="s">
        <v>42</v>
      </c>
      <c r="Q114" s="8" t="s">
        <v>43</v>
      </c>
      <c r="R114" s="10" t="s">
        <v>207</v>
      </c>
      <c r="S114" s="11"/>
      <c r="T114" s="6"/>
      <c r="U114" s="27" t="str">
        <f>HYPERLINK("https://media.infra-m.ru/1009/1009286/cover/1009286.jpg", "Обложка")</f>
        <v>Обложка</v>
      </c>
      <c r="V114" s="27" t="str">
        <f>HYPERLINK("https://znanium.com/catalog/product/1869370", "Ознакомиться")</f>
        <v>Ознакомиться</v>
      </c>
      <c r="W114" s="8" t="s">
        <v>841</v>
      </c>
      <c r="X114" s="6"/>
      <c r="Y114" s="6"/>
      <c r="Z114" s="6"/>
      <c r="AA114" s="6" t="s">
        <v>47</v>
      </c>
    </row>
    <row r="115" spans="1:27" s="4" customFormat="1" ht="44.1" customHeight="1">
      <c r="A115" s="5">
        <v>0</v>
      </c>
      <c r="B115" s="6" t="s">
        <v>847</v>
      </c>
      <c r="C115" s="13">
        <v>1990</v>
      </c>
      <c r="D115" s="8" t="s">
        <v>848</v>
      </c>
      <c r="E115" s="8" t="s">
        <v>849</v>
      </c>
      <c r="F115" s="8" t="s">
        <v>97</v>
      </c>
      <c r="G115" s="6" t="s">
        <v>67</v>
      </c>
      <c r="H115" s="6" t="s">
        <v>53</v>
      </c>
      <c r="I115" s="8"/>
      <c r="J115" s="9">
        <v>1</v>
      </c>
      <c r="K115" s="9">
        <v>526</v>
      </c>
      <c r="L115" s="9">
        <v>2021</v>
      </c>
      <c r="M115" s="8" t="s">
        <v>850</v>
      </c>
      <c r="N115" s="8" t="s">
        <v>56</v>
      </c>
      <c r="O115" s="8" t="s">
        <v>57</v>
      </c>
      <c r="P115" s="6" t="s">
        <v>851</v>
      </c>
      <c r="Q115" s="8" t="s">
        <v>852</v>
      </c>
      <c r="R115" s="10" t="s">
        <v>853</v>
      </c>
      <c r="S115" s="11"/>
      <c r="T115" s="6"/>
      <c r="U115" s="27" t="str">
        <f>HYPERLINK("https://media.infra-m.ru/1163/1163311/cover/1163311.jpg", "Обложка")</f>
        <v>Обложка</v>
      </c>
      <c r="V115" s="27" t="str">
        <f>HYPERLINK("https://znanium.com/catalog/product/1163311", "Ознакомиться")</f>
        <v>Ознакомиться</v>
      </c>
      <c r="W115" s="8" t="s">
        <v>287</v>
      </c>
      <c r="X115" s="6"/>
      <c r="Y115" s="6"/>
      <c r="Z115" s="6"/>
      <c r="AA115" s="6" t="s">
        <v>854</v>
      </c>
    </row>
    <row r="116" spans="1:27" s="4" customFormat="1" ht="44.1" customHeight="1">
      <c r="A116" s="5">
        <v>0</v>
      </c>
      <c r="B116" s="6" t="s">
        <v>855</v>
      </c>
      <c r="C116" s="13">
        <v>1749.9</v>
      </c>
      <c r="D116" s="8" t="s">
        <v>856</v>
      </c>
      <c r="E116" s="8" t="s">
        <v>857</v>
      </c>
      <c r="F116" s="8" t="s">
        <v>97</v>
      </c>
      <c r="G116" s="6" t="s">
        <v>37</v>
      </c>
      <c r="H116" s="6" t="s">
        <v>53</v>
      </c>
      <c r="I116" s="8"/>
      <c r="J116" s="9">
        <v>6</v>
      </c>
      <c r="K116" s="9">
        <v>463</v>
      </c>
      <c r="L116" s="9">
        <v>2016</v>
      </c>
      <c r="M116" s="8"/>
      <c r="N116" s="8" t="s">
        <v>56</v>
      </c>
      <c r="O116" s="8" t="s">
        <v>57</v>
      </c>
      <c r="P116" s="6" t="s">
        <v>851</v>
      </c>
      <c r="Q116" s="8"/>
      <c r="R116" s="10" t="s">
        <v>853</v>
      </c>
      <c r="S116" s="11"/>
      <c r="T116" s="6"/>
      <c r="U116" s="27" t="str">
        <f>HYPERLINK("https://media.infra-m.ru/0540/0540984/cover/540984.jpg", "Обложка")</f>
        <v>Обложка</v>
      </c>
      <c r="V116" s="27" t="str">
        <f>HYPERLINK("https://znanium.com/catalog/product/1163311", "Ознакомиться")</f>
        <v>Ознакомиться</v>
      </c>
      <c r="W116" s="8" t="s">
        <v>287</v>
      </c>
      <c r="X116" s="6"/>
      <c r="Y116" s="6"/>
      <c r="Z116" s="6"/>
      <c r="AA116" s="6" t="s">
        <v>639</v>
      </c>
    </row>
    <row r="117" spans="1:27" s="4" customFormat="1" ht="44.1" customHeight="1">
      <c r="A117" s="5">
        <v>0</v>
      </c>
      <c r="B117" s="6" t="s">
        <v>858</v>
      </c>
      <c r="C117" s="13">
        <v>1600</v>
      </c>
      <c r="D117" s="8" t="s">
        <v>859</v>
      </c>
      <c r="E117" s="8" t="s">
        <v>860</v>
      </c>
      <c r="F117" s="8" t="s">
        <v>790</v>
      </c>
      <c r="G117" s="6"/>
      <c r="H117" s="6" t="s">
        <v>53</v>
      </c>
      <c r="I117" s="8"/>
      <c r="J117" s="9">
        <v>6</v>
      </c>
      <c r="K117" s="9">
        <v>402</v>
      </c>
      <c r="L117" s="9">
        <v>2015</v>
      </c>
      <c r="M117" s="8" t="s">
        <v>861</v>
      </c>
      <c r="N117" s="8" t="s">
        <v>56</v>
      </c>
      <c r="O117" s="8" t="s">
        <v>57</v>
      </c>
      <c r="P117" s="6" t="s">
        <v>851</v>
      </c>
      <c r="Q117" s="8"/>
      <c r="R117" s="10" t="s">
        <v>853</v>
      </c>
      <c r="S117" s="11"/>
      <c r="T117" s="6"/>
      <c r="U117" s="27" t="str">
        <f>HYPERLINK("https://media.infra-m.ru/0485/0485452/cover/485452.jpg", "Обложка")</f>
        <v>Обложка</v>
      </c>
      <c r="V117" s="27" t="str">
        <f>HYPERLINK("https://znanium.com/catalog/product/1163311", "Ознакомиться")</f>
        <v>Ознакомиться</v>
      </c>
      <c r="W117" s="8" t="s">
        <v>287</v>
      </c>
      <c r="X117" s="6"/>
      <c r="Y117" s="6"/>
      <c r="Z117" s="6"/>
      <c r="AA117" s="6" t="s">
        <v>417</v>
      </c>
    </row>
    <row r="118" spans="1:27" s="4" customFormat="1" ht="44.1" customHeight="1">
      <c r="A118" s="5">
        <v>0</v>
      </c>
      <c r="B118" s="6" t="s">
        <v>862</v>
      </c>
      <c r="C118" s="7">
        <v>199.9</v>
      </c>
      <c r="D118" s="8" t="s">
        <v>863</v>
      </c>
      <c r="E118" s="8" t="s">
        <v>864</v>
      </c>
      <c r="F118" s="8" t="s">
        <v>865</v>
      </c>
      <c r="G118" s="6" t="s">
        <v>866</v>
      </c>
      <c r="H118" s="6" t="s">
        <v>867</v>
      </c>
      <c r="I118" s="8" t="s">
        <v>868</v>
      </c>
      <c r="J118" s="9">
        <v>1</v>
      </c>
      <c r="K118" s="9">
        <v>208</v>
      </c>
      <c r="L118" s="9">
        <v>2015</v>
      </c>
      <c r="M118" s="8" t="s">
        <v>869</v>
      </c>
      <c r="N118" s="8" t="s">
        <v>56</v>
      </c>
      <c r="O118" s="8" t="s">
        <v>57</v>
      </c>
      <c r="P118" s="6" t="s">
        <v>792</v>
      </c>
      <c r="Q118" s="8" t="s">
        <v>785</v>
      </c>
      <c r="R118" s="10" t="s">
        <v>870</v>
      </c>
      <c r="S118" s="11"/>
      <c r="T118" s="6"/>
      <c r="U118" s="27" t="str">
        <f>HYPERLINK("https://media.infra-m.ru/0515/0515343/cover/515343.jpg", "Обложка")</f>
        <v>Обложка</v>
      </c>
      <c r="V118" s="27" t="str">
        <f>HYPERLINK("https://znanium.com/catalog/product/236183", "Ознакомиться")</f>
        <v>Ознакомиться</v>
      </c>
      <c r="W118" s="8" t="s">
        <v>287</v>
      </c>
      <c r="X118" s="6"/>
      <c r="Y118" s="6"/>
      <c r="Z118" s="6"/>
      <c r="AA118" s="6" t="s">
        <v>62</v>
      </c>
    </row>
    <row r="119" spans="1:27" s="4" customFormat="1" ht="51.95" customHeight="1">
      <c r="A119" s="5">
        <v>0</v>
      </c>
      <c r="B119" s="6" t="s">
        <v>871</v>
      </c>
      <c r="C119" s="7">
        <v>520</v>
      </c>
      <c r="D119" s="8" t="s">
        <v>872</v>
      </c>
      <c r="E119" s="8" t="s">
        <v>873</v>
      </c>
      <c r="F119" s="8" t="s">
        <v>874</v>
      </c>
      <c r="G119" s="6" t="s">
        <v>52</v>
      </c>
      <c r="H119" s="6" t="s">
        <v>53</v>
      </c>
      <c r="I119" s="8" t="s">
        <v>78</v>
      </c>
      <c r="J119" s="9">
        <v>1</v>
      </c>
      <c r="K119" s="9">
        <v>98</v>
      </c>
      <c r="L119" s="9">
        <v>2024</v>
      </c>
      <c r="M119" s="8" t="s">
        <v>875</v>
      </c>
      <c r="N119" s="8" t="s">
        <v>56</v>
      </c>
      <c r="O119" s="8" t="s">
        <v>57</v>
      </c>
      <c r="P119" s="6" t="s">
        <v>80</v>
      </c>
      <c r="Q119" s="8" t="s">
        <v>81</v>
      </c>
      <c r="R119" s="10" t="s">
        <v>876</v>
      </c>
      <c r="S119" s="11"/>
      <c r="T119" s="6" t="s">
        <v>277</v>
      </c>
      <c r="U119" s="27" t="str">
        <f>HYPERLINK("https://media.infra-m.ru/1995/1995302/cover/1995302.jpg", "Обложка")</f>
        <v>Обложка</v>
      </c>
      <c r="V119" s="27" t="str">
        <f>HYPERLINK("https://znanium.com/catalog/product/1995302", "Ознакомиться")</f>
        <v>Ознакомиться</v>
      </c>
      <c r="W119" s="8" t="s">
        <v>307</v>
      </c>
      <c r="X119" s="6"/>
      <c r="Y119" s="6"/>
      <c r="Z119" s="6"/>
      <c r="AA119" s="6" t="s">
        <v>253</v>
      </c>
    </row>
    <row r="120" spans="1:27" s="4" customFormat="1" ht="51.95" customHeight="1">
      <c r="A120" s="5">
        <v>0</v>
      </c>
      <c r="B120" s="6" t="s">
        <v>877</v>
      </c>
      <c r="C120" s="7">
        <v>820</v>
      </c>
      <c r="D120" s="8" t="s">
        <v>878</v>
      </c>
      <c r="E120" s="8" t="s">
        <v>879</v>
      </c>
      <c r="F120" s="8" t="s">
        <v>880</v>
      </c>
      <c r="G120" s="6" t="s">
        <v>52</v>
      </c>
      <c r="H120" s="6" t="s">
        <v>239</v>
      </c>
      <c r="I120" s="8"/>
      <c r="J120" s="9">
        <v>1</v>
      </c>
      <c r="K120" s="9">
        <v>272</v>
      </c>
      <c r="L120" s="9">
        <v>2019</v>
      </c>
      <c r="M120" s="8" t="s">
        <v>881</v>
      </c>
      <c r="N120" s="8" t="s">
        <v>56</v>
      </c>
      <c r="O120" s="8" t="s">
        <v>57</v>
      </c>
      <c r="P120" s="6" t="s">
        <v>42</v>
      </c>
      <c r="Q120" s="8" t="s">
        <v>43</v>
      </c>
      <c r="R120" s="10" t="s">
        <v>882</v>
      </c>
      <c r="S120" s="11" t="s">
        <v>883</v>
      </c>
      <c r="T120" s="6"/>
      <c r="U120" s="27" t="str">
        <f>HYPERLINK("https://media.infra-m.ru/1031/1031637/cover/1031637.jpg", "Обложка")</f>
        <v>Обложка</v>
      </c>
      <c r="V120" s="27" t="str">
        <f>HYPERLINK("https://znanium.com/catalog/product/1838406", "Ознакомиться")</f>
        <v>Ознакомиться</v>
      </c>
      <c r="W120" s="8" t="s">
        <v>46</v>
      </c>
      <c r="X120" s="6"/>
      <c r="Y120" s="6"/>
      <c r="Z120" s="6"/>
      <c r="AA120" s="6" t="s">
        <v>540</v>
      </c>
    </row>
    <row r="121" spans="1:27" s="4" customFormat="1" ht="51.95" customHeight="1">
      <c r="A121" s="5">
        <v>0</v>
      </c>
      <c r="B121" s="6" t="s">
        <v>884</v>
      </c>
      <c r="C121" s="13">
        <v>1274.9000000000001</v>
      </c>
      <c r="D121" s="8" t="s">
        <v>885</v>
      </c>
      <c r="E121" s="8" t="s">
        <v>886</v>
      </c>
      <c r="F121" s="8" t="s">
        <v>880</v>
      </c>
      <c r="G121" s="6" t="s">
        <v>37</v>
      </c>
      <c r="H121" s="6" t="s">
        <v>239</v>
      </c>
      <c r="I121" s="8"/>
      <c r="J121" s="9">
        <v>1</v>
      </c>
      <c r="K121" s="9">
        <v>336</v>
      </c>
      <c r="L121" s="9">
        <v>2022</v>
      </c>
      <c r="M121" s="8" t="s">
        <v>887</v>
      </c>
      <c r="N121" s="8" t="s">
        <v>56</v>
      </c>
      <c r="O121" s="8" t="s">
        <v>57</v>
      </c>
      <c r="P121" s="6" t="s">
        <v>42</v>
      </c>
      <c r="Q121" s="8" t="s">
        <v>43</v>
      </c>
      <c r="R121" s="10" t="s">
        <v>882</v>
      </c>
      <c r="S121" s="11" t="s">
        <v>883</v>
      </c>
      <c r="T121" s="6"/>
      <c r="U121" s="27" t="str">
        <f>HYPERLINK("https://media.infra-m.ru/1838/1838406/cover/1838406.jpg", "Обложка")</f>
        <v>Обложка</v>
      </c>
      <c r="V121" s="27" t="str">
        <f>HYPERLINK("https://znanium.com/catalog/product/1838406", "Ознакомиться")</f>
        <v>Ознакомиться</v>
      </c>
      <c r="W121" s="8" t="s">
        <v>46</v>
      </c>
      <c r="X121" s="6"/>
      <c r="Y121" s="6"/>
      <c r="Z121" s="6"/>
      <c r="AA121" s="6" t="s">
        <v>496</v>
      </c>
    </row>
    <row r="122" spans="1:27" s="4" customFormat="1" ht="51.95" customHeight="1">
      <c r="A122" s="5">
        <v>0</v>
      </c>
      <c r="B122" s="6" t="s">
        <v>888</v>
      </c>
      <c r="C122" s="7">
        <v>580</v>
      </c>
      <c r="D122" s="8" t="s">
        <v>889</v>
      </c>
      <c r="E122" s="8" t="s">
        <v>890</v>
      </c>
      <c r="F122" s="8" t="s">
        <v>891</v>
      </c>
      <c r="G122" s="6" t="s">
        <v>37</v>
      </c>
      <c r="H122" s="6" t="s">
        <v>53</v>
      </c>
      <c r="I122" s="8" t="s">
        <v>165</v>
      </c>
      <c r="J122" s="9">
        <v>1</v>
      </c>
      <c r="K122" s="9">
        <v>203</v>
      </c>
      <c r="L122" s="9">
        <v>2018</v>
      </c>
      <c r="M122" s="8" t="s">
        <v>892</v>
      </c>
      <c r="N122" s="8" t="s">
        <v>56</v>
      </c>
      <c r="O122" s="8" t="s">
        <v>57</v>
      </c>
      <c r="P122" s="6" t="s">
        <v>42</v>
      </c>
      <c r="Q122" s="8" t="s">
        <v>43</v>
      </c>
      <c r="R122" s="10" t="s">
        <v>893</v>
      </c>
      <c r="S122" s="11" t="s">
        <v>894</v>
      </c>
      <c r="T122" s="6"/>
      <c r="U122" s="27" t="str">
        <f>HYPERLINK("https://media.infra-m.ru/0966/0966558/cover/966558.jpg", "Обложка")</f>
        <v>Обложка</v>
      </c>
      <c r="V122" s="27" t="str">
        <f>HYPERLINK("https://znanium.com/catalog/product/2102180", "Ознакомиться")</f>
        <v>Ознакомиться</v>
      </c>
      <c r="W122" s="8" t="s">
        <v>684</v>
      </c>
      <c r="X122" s="6"/>
      <c r="Y122" s="6"/>
      <c r="Z122" s="6"/>
      <c r="AA122" s="6" t="s">
        <v>208</v>
      </c>
    </row>
    <row r="123" spans="1:27" s="4" customFormat="1" ht="51.95" customHeight="1">
      <c r="A123" s="5">
        <v>0</v>
      </c>
      <c r="B123" s="6" t="s">
        <v>895</v>
      </c>
      <c r="C123" s="13">
        <v>1020</v>
      </c>
      <c r="D123" s="8" t="s">
        <v>896</v>
      </c>
      <c r="E123" s="8" t="s">
        <v>897</v>
      </c>
      <c r="F123" s="8" t="s">
        <v>891</v>
      </c>
      <c r="G123" s="6" t="s">
        <v>67</v>
      </c>
      <c r="H123" s="6" t="s">
        <v>53</v>
      </c>
      <c r="I123" s="8" t="s">
        <v>165</v>
      </c>
      <c r="J123" s="9">
        <v>1</v>
      </c>
      <c r="K123" s="9">
        <v>221</v>
      </c>
      <c r="L123" s="9">
        <v>2024</v>
      </c>
      <c r="M123" s="8" t="s">
        <v>898</v>
      </c>
      <c r="N123" s="8" t="s">
        <v>56</v>
      </c>
      <c r="O123" s="8" t="s">
        <v>57</v>
      </c>
      <c r="P123" s="6" t="s">
        <v>42</v>
      </c>
      <c r="Q123" s="8" t="s">
        <v>43</v>
      </c>
      <c r="R123" s="10" t="s">
        <v>893</v>
      </c>
      <c r="S123" s="11" t="s">
        <v>894</v>
      </c>
      <c r="T123" s="6"/>
      <c r="U123" s="27" t="str">
        <f>HYPERLINK("https://media.infra-m.ru/2102/2102180/cover/2102180.jpg", "Обложка")</f>
        <v>Обложка</v>
      </c>
      <c r="V123" s="27" t="str">
        <f>HYPERLINK("https://znanium.com/catalog/product/2102180", "Ознакомиться")</f>
        <v>Ознакомиться</v>
      </c>
      <c r="W123" s="8" t="s">
        <v>684</v>
      </c>
      <c r="X123" s="6"/>
      <c r="Y123" s="6"/>
      <c r="Z123" s="6"/>
      <c r="AA123" s="6" t="s">
        <v>242</v>
      </c>
    </row>
    <row r="124" spans="1:27" s="4" customFormat="1" ht="42" customHeight="1">
      <c r="A124" s="5">
        <v>0</v>
      </c>
      <c r="B124" s="6" t="s">
        <v>899</v>
      </c>
      <c r="C124" s="13">
        <v>1020</v>
      </c>
      <c r="D124" s="8" t="s">
        <v>900</v>
      </c>
      <c r="E124" s="8" t="s">
        <v>897</v>
      </c>
      <c r="F124" s="8" t="s">
        <v>891</v>
      </c>
      <c r="G124" s="6" t="s">
        <v>67</v>
      </c>
      <c r="H124" s="6" t="s">
        <v>53</v>
      </c>
      <c r="I124" s="8" t="s">
        <v>652</v>
      </c>
      <c r="J124" s="9">
        <v>1</v>
      </c>
      <c r="K124" s="9">
        <v>221</v>
      </c>
      <c r="L124" s="9">
        <v>2024</v>
      </c>
      <c r="M124" s="8" t="s">
        <v>901</v>
      </c>
      <c r="N124" s="8" t="s">
        <v>56</v>
      </c>
      <c r="O124" s="8" t="s">
        <v>57</v>
      </c>
      <c r="P124" s="6" t="s">
        <v>42</v>
      </c>
      <c r="Q124" s="8" t="s">
        <v>654</v>
      </c>
      <c r="R124" s="10" t="s">
        <v>902</v>
      </c>
      <c r="S124" s="11"/>
      <c r="T124" s="6"/>
      <c r="U124" s="27" t="str">
        <f>HYPERLINK("https://media.infra-m.ru/2113/2113306/cover/2113306.jpg", "Обложка")</f>
        <v>Обложка</v>
      </c>
      <c r="V124" s="27" t="str">
        <f>HYPERLINK("https://znanium.com/catalog/product/2113306", "Ознакомиться")</f>
        <v>Ознакомиться</v>
      </c>
      <c r="W124" s="8" t="s">
        <v>684</v>
      </c>
      <c r="X124" s="6" t="s">
        <v>903</v>
      </c>
      <c r="Y124" s="6"/>
      <c r="Z124" s="6" t="s">
        <v>657</v>
      </c>
      <c r="AA124" s="6" t="s">
        <v>904</v>
      </c>
    </row>
    <row r="125" spans="1:27" s="4" customFormat="1" ht="51.95" customHeight="1">
      <c r="A125" s="5">
        <v>0</v>
      </c>
      <c r="B125" s="6" t="s">
        <v>905</v>
      </c>
      <c r="C125" s="7">
        <v>930</v>
      </c>
      <c r="D125" s="8" t="s">
        <v>906</v>
      </c>
      <c r="E125" s="8" t="s">
        <v>890</v>
      </c>
      <c r="F125" s="8" t="s">
        <v>891</v>
      </c>
      <c r="G125" s="6" t="s">
        <v>67</v>
      </c>
      <c r="H125" s="6" t="s">
        <v>53</v>
      </c>
      <c r="I125" s="8" t="s">
        <v>652</v>
      </c>
      <c r="J125" s="9">
        <v>1</v>
      </c>
      <c r="K125" s="9">
        <v>221</v>
      </c>
      <c r="L125" s="9">
        <v>2022</v>
      </c>
      <c r="M125" s="8" t="s">
        <v>907</v>
      </c>
      <c r="N125" s="8" t="s">
        <v>56</v>
      </c>
      <c r="O125" s="8" t="s">
        <v>57</v>
      </c>
      <c r="P125" s="6" t="s">
        <v>42</v>
      </c>
      <c r="Q125" s="8" t="s">
        <v>654</v>
      </c>
      <c r="R125" s="10" t="s">
        <v>902</v>
      </c>
      <c r="S125" s="11" t="s">
        <v>908</v>
      </c>
      <c r="T125" s="6"/>
      <c r="U125" s="27" t="str">
        <f>HYPERLINK("https://media.infra-m.ru/1873/1873262/cover/1873262.jpg", "Обложка")</f>
        <v>Обложка</v>
      </c>
      <c r="V125" s="27" t="str">
        <f>HYPERLINK("https://znanium.com/catalog/product/2113306", "Ознакомиться")</f>
        <v>Ознакомиться</v>
      </c>
      <c r="W125" s="8" t="s">
        <v>684</v>
      </c>
      <c r="X125" s="6"/>
      <c r="Y125" s="6"/>
      <c r="Z125" s="6" t="s">
        <v>657</v>
      </c>
      <c r="AA125" s="6" t="s">
        <v>73</v>
      </c>
    </row>
    <row r="126" spans="1:27" s="4" customFormat="1" ht="42" customHeight="1">
      <c r="A126" s="5">
        <v>0</v>
      </c>
      <c r="B126" s="6" t="s">
        <v>909</v>
      </c>
      <c r="C126" s="7">
        <v>874</v>
      </c>
      <c r="D126" s="8" t="s">
        <v>910</v>
      </c>
      <c r="E126" s="8" t="s">
        <v>911</v>
      </c>
      <c r="F126" s="8" t="s">
        <v>912</v>
      </c>
      <c r="G126" s="6" t="s">
        <v>37</v>
      </c>
      <c r="H126" s="6" t="s">
        <v>53</v>
      </c>
      <c r="I126" s="8" t="s">
        <v>54</v>
      </c>
      <c r="J126" s="9">
        <v>1</v>
      </c>
      <c r="K126" s="9">
        <v>175</v>
      </c>
      <c r="L126" s="9">
        <v>2023</v>
      </c>
      <c r="M126" s="8" t="s">
        <v>913</v>
      </c>
      <c r="N126" s="8" t="s">
        <v>56</v>
      </c>
      <c r="O126" s="8" t="s">
        <v>57</v>
      </c>
      <c r="P126" s="6" t="s">
        <v>42</v>
      </c>
      <c r="Q126" s="8" t="s">
        <v>43</v>
      </c>
      <c r="R126" s="10" t="s">
        <v>275</v>
      </c>
      <c r="S126" s="11"/>
      <c r="T126" s="6"/>
      <c r="U126" s="27" t="str">
        <f>HYPERLINK("https://media.infra-m.ru/2086/2086827/cover/2086827.jpg", "Обложка")</f>
        <v>Обложка</v>
      </c>
      <c r="V126" s="27" t="str">
        <f>HYPERLINK("https://znanium.com/catalog/product/1856786", "Ознакомиться")</f>
        <v>Ознакомиться</v>
      </c>
      <c r="W126" s="8" t="s">
        <v>583</v>
      </c>
      <c r="X126" s="6"/>
      <c r="Y126" s="6"/>
      <c r="Z126" s="6"/>
      <c r="AA126" s="6" t="s">
        <v>93</v>
      </c>
    </row>
    <row r="127" spans="1:27" s="4" customFormat="1" ht="51.95" customHeight="1">
      <c r="A127" s="5">
        <v>0</v>
      </c>
      <c r="B127" s="6" t="s">
        <v>914</v>
      </c>
      <c r="C127" s="13">
        <v>1170</v>
      </c>
      <c r="D127" s="8" t="s">
        <v>915</v>
      </c>
      <c r="E127" s="8" t="s">
        <v>916</v>
      </c>
      <c r="F127" s="8" t="s">
        <v>917</v>
      </c>
      <c r="G127" s="6" t="s">
        <v>67</v>
      </c>
      <c r="H127" s="6" t="s">
        <v>53</v>
      </c>
      <c r="I127" s="8" t="s">
        <v>54</v>
      </c>
      <c r="J127" s="9">
        <v>1</v>
      </c>
      <c r="K127" s="9">
        <v>254</v>
      </c>
      <c r="L127" s="9">
        <v>2024</v>
      </c>
      <c r="M127" s="8" t="s">
        <v>918</v>
      </c>
      <c r="N127" s="8" t="s">
        <v>40</v>
      </c>
      <c r="O127" s="8" t="s">
        <v>41</v>
      </c>
      <c r="P127" s="6" t="s">
        <v>42</v>
      </c>
      <c r="Q127" s="8" t="s">
        <v>43</v>
      </c>
      <c r="R127" s="10" t="s">
        <v>919</v>
      </c>
      <c r="S127" s="11" t="s">
        <v>920</v>
      </c>
      <c r="T127" s="6"/>
      <c r="U127" s="27" t="str">
        <f>HYPERLINK("https://media.infra-m.ru/2079/2079693/cover/2079693.jpg", "Обложка")</f>
        <v>Обложка</v>
      </c>
      <c r="V127" s="27" t="str">
        <f>HYPERLINK("https://znanium.com/catalog/product/2079693", "Ознакомиться")</f>
        <v>Ознакомиться</v>
      </c>
      <c r="W127" s="8" t="s">
        <v>91</v>
      </c>
      <c r="X127" s="6"/>
      <c r="Y127" s="6"/>
      <c r="Z127" s="6"/>
      <c r="AA127" s="6" t="s">
        <v>62</v>
      </c>
    </row>
    <row r="128" spans="1:27" s="4" customFormat="1" ht="51.95" customHeight="1">
      <c r="A128" s="5">
        <v>0</v>
      </c>
      <c r="B128" s="6" t="s">
        <v>921</v>
      </c>
      <c r="C128" s="7">
        <v>614.9</v>
      </c>
      <c r="D128" s="8" t="s">
        <v>922</v>
      </c>
      <c r="E128" s="8" t="s">
        <v>923</v>
      </c>
      <c r="F128" s="8" t="s">
        <v>924</v>
      </c>
      <c r="G128" s="6" t="s">
        <v>37</v>
      </c>
      <c r="H128" s="6" t="s">
        <v>385</v>
      </c>
      <c r="I128" s="8" t="s">
        <v>377</v>
      </c>
      <c r="J128" s="9">
        <v>1</v>
      </c>
      <c r="K128" s="9">
        <v>192</v>
      </c>
      <c r="L128" s="9">
        <v>2019</v>
      </c>
      <c r="M128" s="8" t="s">
        <v>925</v>
      </c>
      <c r="N128" s="8" t="s">
        <v>40</v>
      </c>
      <c r="O128" s="8" t="s">
        <v>41</v>
      </c>
      <c r="P128" s="6" t="s">
        <v>42</v>
      </c>
      <c r="Q128" s="8" t="s">
        <v>43</v>
      </c>
      <c r="R128" s="10" t="s">
        <v>926</v>
      </c>
      <c r="S128" s="11" t="s">
        <v>927</v>
      </c>
      <c r="T128" s="6"/>
      <c r="U128" s="27" t="str">
        <f>HYPERLINK("https://media.infra-m.ru/1024/1024051/cover/1024051.jpg", "Обложка")</f>
        <v>Обложка</v>
      </c>
      <c r="V128" s="27" t="str">
        <f>HYPERLINK("https://znanium.com/catalog/product/754579", "Ознакомиться")</f>
        <v>Ознакомиться</v>
      </c>
      <c r="W128" s="8" t="s">
        <v>928</v>
      </c>
      <c r="X128" s="6"/>
      <c r="Y128" s="6"/>
      <c r="Z128" s="6"/>
      <c r="AA128" s="6" t="s">
        <v>253</v>
      </c>
    </row>
    <row r="129" spans="1:27" s="4" customFormat="1" ht="51.95" customHeight="1">
      <c r="A129" s="5">
        <v>0</v>
      </c>
      <c r="B129" s="6" t="s">
        <v>929</v>
      </c>
      <c r="C129" s="13">
        <v>1500</v>
      </c>
      <c r="D129" s="8" t="s">
        <v>930</v>
      </c>
      <c r="E129" s="8" t="s">
        <v>931</v>
      </c>
      <c r="F129" s="8" t="s">
        <v>932</v>
      </c>
      <c r="G129" s="6" t="s">
        <v>67</v>
      </c>
      <c r="H129" s="6" t="s">
        <v>53</v>
      </c>
      <c r="I129" s="8" t="s">
        <v>165</v>
      </c>
      <c r="J129" s="9">
        <v>1</v>
      </c>
      <c r="K129" s="9">
        <v>333</v>
      </c>
      <c r="L129" s="9">
        <v>2023</v>
      </c>
      <c r="M129" s="8" t="s">
        <v>933</v>
      </c>
      <c r="N129" s="8" t="s">
        <v>56</v>
      </c>
      <c r="O129" s="8" t="s">
        <v>57</v>
      </c>
      <c r="P129" s="6" t="s">
        <v>69</v>
      </c>
      <c r="Q129" s="8" t="s">
        <v>43</v>
      </c>
      <c r="R129" s="10" t="s">
        <v>934</v>
      </c>
      <c r="S129" s="11" t="s">
        <v>935</v>
      </c>
      <c r="T129" s="6"/>
      <c r="U129" s="27" t="str">
        <f>HYPERLINK("https://media.infra-m.ru/1991/1991048/cover/1991048.jpg", "Обложка")</f>
        <v>Обложка</v>
      </c>
      <c r="V129" s="27" t="str">
        <f>HYPERLINK("https://znanium.com/catalog/product/1991048", "Ознакомиться")</f>
        <v>Ознакомиться</v>
      </c>
      <c r="W129" s="8" t="s">
        <v>46</v>
      </c>
      <c r="X129" s="6"/>
      <c r="Y129" s="6"/>
      <c r="Z129" s="6"/>
      <c r="AA129" s="6" t="s">
        <v>47</v>
      </c>
    </row>
    <row r="130" spans="1:27" s="4" customFormat="1" ht="51.95" customHeight="1">
      <c r="A130" s="5">
        <v>0</v>
      </c>
      <c r="B130" s="6" t="s">
        <v>936</v>
      </c>
      <c r="C130" s="13">
        <v>1324</v>
      </c>
      <c r="D130" s="8" t="s">
        <v>937</v>
      </c>
      <c r="E130" s="8" t="s">
        <v>931</v>
      </c>
      <c r="F130" s="8" t="s">
        <v>938</v>
      </c>
      <c r="G130" s="6" t="s">
        <v>52</v>
      </c>
      <c r="H130" s="6" t="s">
        <v>939</v>
      </c>
      <c r="I130" s="8" t="s">
        <v>165</v>
      </c>
      <c r="J130" s="9">
        <v>1</v>
      </c>
      <c r="K130" s="9">
        <v>288</v>
      </c>
      <c r="L130" s="9">
        <v>2024</v>
      </c>
      <c r="M130" s="8" t="s">
        <v>940</v>
      </c>
      <c r="N130" s="8" t="s">
        <v>56</v>
      </c>
      <c r="O130" s="8" t="s">
        <v>57</v>
      </c>
      <c r="P130" s="6" t="s">
        <v>69</v>
      </c>
      <c r="Q130" s="8" t="s">
        <v>43</v>
      </c>
      <c r="R130" s="10" t="s">
        <v>241</v>
      </c>
      <c r="S130" s="11" t="s">
        <v>941</v>
      </c>
      <c r="T130" s="6"/>
      <c r="U130" s="27" t="str">
        <f>HYPERLINK("https://media.infra-m.ru/2091/2091895/cover/2091895.jpg", "Обложка")</f>
        <v>Обложка</v>
      </c>
      <c r="V130" s="27" t="str">
        <f>HYPERLINK("https://znanium.com/catalog/product/1843742", "Ознакомиться")</f>
        <v>Ознакомиться</v>
      </c>
      <c r="W130" s="8" t="s">
        <v>942</v>
      </c>
      <c r="X130" s="6"/>
      <c r="Y130" s="6"/>
      <c r="Z130" s="6"/>
      <c r="AA130" s="6" t="s">
        <v>84</v>
      </c>
    </row>
    <row r="131" spans="1:27" s="4" customFormat="1" ht="51.95" customHeight="1">
      <c r="A131" s="5">
        <v>0</v>
      </c>
      <c r="B131" s="6" t="s">
        <v>943</v>
      </c>
      <c r="C131" s="13">
        <v>1040</v>
      </c>
      <c r="D131" s="8" t="s">
        <v>944</v>
      </c>
      <c r="E131" s="8" t="s">
        <v>931</v>
      </c>
      <c r="F131" s="8" t="s">
        <v>945</v>
      </c>
      <c r="G131" s="6" t="s">
        <v>67</v>
      </c>
      <c r="H131" s="6" t="s">
        <v>98</v>
      </c>
      <c r="I131" s="8" t="s">
        <v>165</v>
      </c>
      <c r="J131" s="9">
        <v>1</v>
      </c>
      <c r="K131" s="9">
        <v>229</v>
      </c>
      <c r="L131" s="9">
        <v>2022</v>
      </c>
      <c r="M131" s="8" t="s">
        <v>946</v>
      </c>
      <c r="N131" s="8" t="s">
        <v>56</v>
      </c>
      <c r="O131" s="8" t="s">
        <v>57</v>
      </c>
      <c r="P131" s="6" t="s">
        <v>42</v>
      </c>
      <c r="Q131" s="8" t="s">
        <v>43</v>
      </c>
      <c r="R131" s="10" t="s">
        <v>275</v>
      </c>
      <c r="S131" s="11" t="s">
        <v>947</v>
      </c>
      <c r="T131" s="6"/>
      <c r="U131" s="27" t="str">
        <f>HYPERLINK("https://media.infra-m.ru/1948/1948225/cover/1948225.jpg", "Обложка")</f>
        <v>Обложка</v>
      </c>
      <c r="V131" s="27" t="str">
        <f>HYPERLINK("https://znanium.com/catalog/product/926479", "Ознакомиться")</f>
        <v>Ознакомиться</v>
      </c>
      <c r="W131" s="8" t="s">
        <v>948</v>
      </c>
      <c r="X131" s="6"/>
      <c r="Y131" s="6"/>
      <c r="Z131" s="6"/>
      <c r="AA131" s="6" t="s">
        <v>47</v>
      </c>
    </row>
    <row r="132" spans="1:27" s="4" customFormat="1" ht="51.95" customHeight="1">
      <c r="A132" s="5">
        <v>0</v>
      </c>
      <c r="B132" s="6" t="s">
        <v>949</v>
      </c>
      <c r="C132" s="13">
        <v>1680</v>
      </c>
      <c r="D132" s="8" t="s">
        <v>950</v>
      </c>
      <c r="E132" s="8" t="s">
        <v>951</v>
      </c>
      <c r="F132" s="8" t="s">
        <v>952</v>
      </c>
      <c r="G132" s="6" t="s">
        <v>67</v>
      </c>
      <c r="H132" s="6" t="s">
        <v>265</v>
      </c>
      <c r="I132" s="8" t="s">
        <v>652</v>
      </c>
      <c r="J132" s="9">
        <v>1</v>
      </c>
      <c r="K132" s="9">
        <v>400</v>
      </c>
      <c r="L132" s="9">
        <v>2022</v>
      </c>
      <c r="M132" s="8" t="s">
        <v>953</v>
      </c>
      <c r="N132" s="8" t="s">
        <v>56</v>
      </c>
      <c r="O132" s="8" t="s">
        <v>57</v>
      </c>
      <c r="P132" s="6" t="s">
        <v>42</v>
      </c>
      <c r="Q132" s="8" t="s">
        <v>654</v>
      </c>
      <c r="R132" s="10" t="s">
        <v>954</v>
      </c>
      <c r="S132" s="11" t="s">
        <v>955</v>
      </c>
      <c r="T132" s="6"/>
      <c r="U132" s="27" t="str">
        <f>HYPERLINK("https://media.infra-m.ru/1872/1872110/cover/1872110.jpg", "Обложка")</f>
        <v>Обложка</v>
      </c>
      <c r="V132" s="27" t="str">
        <f>HYPERLINK("https://znanium.com/catalog/product/1872110", "Ознакомиться")</f>
        <v>Ознакомиться</v>
      </c>
      <c r="W132" s="8" t="s">
        <v>134</v>
      </c>
      <c r="X132" s="6"/>
      <c r="Y132" s="6"/>
      <c r="Z132" s="6" t="s">
        <v>657</v>
      </c>
      <c r="AA132" s="6" t="s">
        <v>510</v>
      </c>
    </row>
    <row r="133" spans="1:27" s="4" customFormat="1" ht="51.95" customHeight="1">
      <c r="A133" s="5">
        <v>0</v>
      </c>
      <c r="B133" s="6" t="s">
        <v>956</v>
      </c>
      <c r="C133" s="13">
        <v>1800</v>
      </c>
      <c r="D133" s="8" t="s">
        <v>957</v>
      </c>
      <c r="E133" s="8" t="s">
        <v>951</v>
      </c>
      <c r="F133" s="8" t="s">
        <v>958</v>
      </c>
      <c r="G133" s="6" t="s">
        <v>67</v>
      </c>
      <c r="H133" s="6" t="s">
        <v>265</v>
      </c>
      <c r="I133" s="8" t="s">
        <v>54</v>
      </c>
      <c r="J133" s="9">
        <v>1</v>
      </c>
      <c r="K133" s="9">
        <v>400</v>
      </c>
      <c r="L133" s="9">
        <v>2023</v>
      </c>
      <c r="M133" s="8" t="s">
        <v>959</v>
      </c>
      <c r="N133" s="8" t="s">
        <v>56</v>
      </c>
      <c r="O133" s="8" t="s">
        <v>57</v>
      </c>
      <c r="P133" s="6" t="s">
        <v>42</v>
      </c>
      <c r="Q133" s="8" t="s">
        <v>43</v>
      </c>
      <c r="R133" s="10" t="s">
        <v>960</v>
      </c>
      <c r="S133" s="11" t="s">
        <v>961</v>
      </c>
      <c r="T133" s="6"/>
      <c r="U133" s="27" t="str">
        <f>HYPERLINK("https://media.infra-m.ru/2019/2019771/cover/2019771.jpg", "Обложка")</f>
        <v>Обложка</v>
      </c>
      <c r="V133" s="27" t="str">
        <f>HYPERLINK("https://znanium.com/catalog/product/2019771", "Ознакомиться")</f>
        <v>Ознакомиться</v>
      </c>
      <c r="W133" s="8" t="s">
        <v>134</v>
      </c>
      <c r="X133" s="6"/>
      <c r="Y133" s="6"/>
      <c r="Z133" s="6"/>
      <c r="AA133" s="6" t="s">
        <v>308</v>
      </c>
    </row>
    <row r="134" spans="1:27" s="4" customFormat="1" ht="51.95" customHeight="1">
      <c r="A134" s="5">
        <v>0</v>
      </c>
      <c r="B134" s="6" t="s">
        <v>962</v>
      </c>
      <c r="C134" s="13">
        <v>1064.9000000000001</v>
      </c>
      <c r="D134" s="8" t="s">
        <v>963</v>
      </c>
      <c r="E134" s="8" t="s">
        <v>964</v>
      </c>
      <c r="F134" s="8" t="s">
        <v>965</v>
      </c>
      <c r="G134" s="6" t="s">
        <v>37</v>
      </c>
      <c r="H134" s="6" t="s">
        <v>38</v>
      </c>
      <c r="I134" s="8" t="s">
        <v>165</v>
      </c>
      <c r="J134" s="9">
        <v>1</v>
      </c>
      <c r="K134" s="9">
        <v>236</v>
      </c>
      <c r="L134" s="9">
        <v>2023</v>
      </c>
      <c r="M134" s="8" t="s">
        <v>966</v>
      </c>
      <c r="N134" s="8" t="s">
        <v>56</v>
      </c>
      <c r="O134" s="8" t="s">
        <v>57</v>
      </c>
      <c r="P134" s="6" t="s">
        <v>42</v>
      </c>
      <c r="Q134" s="8" t="s">
        <v>43</v>
      </c>
      <c r="R134" s="10" t="s">
        <v>967</v>
      </c>
      <c r="S134" s="11"/>
      <c r="T134" s="6"/>
      <c r="U134" s="27" t="str">
        <f>HYPERLINK("https://media.infra-m.ru/2002/2002666/cover/2002666.jpg", "Обложка")</f>
        <v>Обложка</v>
      </c>
      <c r="V134" s="27" t="str">
        <f>HYPERLINK("https://znanium.com/catalog/product/1015853", "Ознакомиться")</f>
        <v>Ознакомиться</v>
      </c>
      <c r="W134" s="8"/>
      <c r="X134" s="6"/>
      <c r="Y134" s="6"/>
      <c r="Z134" s="6"/>
      <c r="AA134" s="6" t="s">
        <v>288</v>
      </c>
    </row>
    <row r="135" spans="1:27" s="4" customFormat="1" ht="51.95" customHeight="1">
      <c r="A135" s="5">
        <v>0</v>
      </c>
      <c r="B135" s="6" t="s">
        <v>968</v>
      </c>
      <c r="C135" s="13">
        <v>1760</v>
      </c>
      <c r="D135" s="8" t="s">
        <v>969</v>
      </c>
      <c r="E135" s="8" t="s">
        <v>970</v>
      </c>
      <c r="F135" s="8" t="s">
        <v>971</v>
      </c>
      <c r="G135" s="6" t="s">
        <v>67</v>
      </c>
      <c r="H135" s="6" t="s">
        <v>53</v>
      </c>
      <c r="I135" s="8" t="s">
        <v>191</v>
      </c>
      <c r="J135" s="9">
        <v>1</v>
      </c>
      <c r="K135" s="9">
        <v>334</v>
      </c>
      <c r="L135" s="9">
        <v>2024</v>
      </c>
      <c r="M135" s="8" t="s">
        <v>972</v>
      </c>
      <c r="N135" s="8" t="s">
        <v>56</v>
      </c>
      <c r="O135" s="8" t="s">
        <v>57</v>
      </c>
      <c r="P135" s="6" t="s">
        <v>69</v>
      </c>
      <c r="Q135" s="8" t="s">
        <v>43</v>
      </c>
      <c r="R135" s="10" t="s">
        <v>973</v>
      </c>
      <c r="S135" s="11" t="s">
        <v>974</v>
      </c>
      <c r="T135" s="6"/>
      <c r="U135" s="27" t="str">
        <f>HYPERLINK("https://media.infra-m.ru/2079/2079311/cover/2079311.jpg", "Обложка")</f>
        <v>Обложка</v>
      </c>
      <c r="V135" s="27" t="str">
        <f>HYPERLINK("https://znanium.com/catalog/product/2079311", "Ознакомиться")</f>
        <v>Ознакомиться</v>
      </c>
      <c r="W135" s="8" t="s">
        <v>46</v>
      </c>
      <c r="X135" s="6"/>
      <c r="Y135" s="6"/>
      <c r="Z135" s="6"/>
      <c r="AA135" s="6" t="s">
        <v>226</v>
      </c>
    </row>
    <row r="136" spans="1:27" s="4" customFormat="1" ht="51.95" customHeight="1">
      <c r="A136" s="5">
        <v>0</v>
      </c>
      <c r="B136" s="6" t="s">
        <v>975</v>
      </c>
      <c r="C136" s="13">
        <v>1534.9</v>
      </c>
      <c r="D136" s="8" t="s">
        <v>976</v>
      </c>
      <c r="E136" s="8" t="s">
        <v>977</v>
      </c>
      <c r="F136" s="8" t="s">
        <v>978</v>
      </c>
      <c r="G136" s="6" t="s">
        <v>37</v>
      </c>
      <c r="H136" s="6" t="s">
        <v>53</v>
      </c>
      <c r="I136" s="8" t="s">
        <v>165</v>
      </c>
      <c r="J136" s="9">
        <v>1</v>
      </c>
      <c r="K136" s="9">
        <v>404</v>
      </c>
      <c r="L136" s="9">
        <v>2022</v>
      </c>
      <c r="M136" s="8" t="s">
        <v>979</v>
      </c>
      <c r="N136" s="8" t="s">
        <v>56</v>
      </c>
      <c r="O136" s="8" t="s">
        <v>57</v>
      </c>
      <c r="P136" s="6" t="s">
        <v>42</v>
      </c>
      <c r="Q136" s="8" t="s">
        <v>43</v>
      </c>
      <c r="R136" s="10" t="s">
        <v>980</v>
      </c>
      <c r="S136" s="11" t="s">
        <v>981</v>
      </c>
      <c r="T136" s="6"/>
      <c r="U136" s="27" t="str">
        <f>HYPERLINK("https://media.infra-m.ru/1831/1831926/cover/1831926.jpg", "Обложка")</f>
        <v>Обложка</v>
      </c>
      <c r="V136" s="27" t="str">
        <f>HYPERLINK("https://znanium.com/catalog/product/1831926", "Ознакомиться")</f>
        <v>Ознакомиться</v>
      </c>
      <c r="W136" s="8" t="s">
        <v>982</v>
      </c>
      <c r="X136" s="6"/>
      <c r="Y136" s="6"/>
      <c r="Z136" s="6"/>
      <c r="AA136" s="6" t="s">
        <v>496</v>
      </c>
    </row>
    <row r="137" spans="1:27" s="4" customFormat="1" ht="42" customHeight="1">
      <c r="A137" s="5">
        <v>0</v>
      </c>
      <c r="B137" s="6" t="s">
        <v>983</v>
      </c>
      <c r="C137" s="13">
        <v>1154.9000000000001</v>
      </c>
      <c r="D137" s="8" t="s">
        <v>984</v>
      </c>
      <c r="E137" s="8" t="s">
        <v>985</v>
      </c>
      <c r="F137" s="8" t="s">
        <v>986</v>
      </c>
      <c r="G137" s="6" t="s">
        <v>37</v>
      </c>
      <c r="H137" s="6" t="s">
        <v>53</v>
      </c>
      <c r="I137" s="8" t="s">
        <v>165</v>
      </c>
      <c r="J137" s="9">
        <v>1</v>
      </c>
      <c r="K137" s="9">
        <v>256</v>
      </c>
      <c r="L137" s="9">
        <v>2023</v>
      </c>
      <c r="M137" s="8" t="s">
        <v>987</v>
      </c>
      <c r="N137" s="8" t="s">
        <v>56</v>
      </c>
      <c r="O137" s="8" t="s">
        <v>57</v>
      </c>
      <c r="P137" s="6" t="s">
        <v>69</v>
      </c>
      <c r="Q137" s="8" t="s">
        <v>43</v>
      </c>
      <c r="R137" s="10" t="s">
        <v>349</v>
      </c>
      <c r="S137" s="11"/>
      <c r="T137" s="6"/>
      <c r="U137" s="27" t="str">
        <f>HYPERLINK("https://media.infra-m.ru/1911/1911187/cover/1911187.jpg", "Обложка")</f>
        <v>Обложка</v>
      </c>
      <c r="V137" s="27" t="str">
        <f>HYPERLINK("https://znanium.com/catalog/product/1216875", "Ознакомиться")</f>
        <v>Ознакомиться</v>
      </c>
      <c r="W137" s="8" t="s">
        <v>988</v>
      </c>
      <c r="X137" s="6"/>
      <c r="Y137" s="6"/>
      <c r="Z137" s="6"/>
      <c r="AA137" s="6" t="s">
        <v>84</v>
      </c>
    </row>
    <row r="138" spans="1:27" s="4" customFormat="1" ht="51.95" customHeight="1">
      <c r="A138" s="5">
        <v>0</v>
      </c>
      <c r="B138" s="6" t="s">
        <v>989</v>
      </c>
      <c r="C138" s="7">
        <v>550</v>
      </c>
      <c r="D138" s="8" t="s">
        <v>990</v>
      </c>
      <c r="E138" s="8" t="s">
        <v>991</v>
      </c>
      <c r="F138" s="8" t="s">
        <v>992</v>
      </c>
      <c r="G138" s="6" t="s">
        <v>52</v>
      </c>
      <c r="H138" s="6" t="s">
        <v>53</v>
      </c>
      <c r="I138" s="8" t="s">
        <v>114</v>
      </c>
      <c r="J138" s="9">
        <v>1</v>
      </c>
      <c r="K138" s="9">
        <v>118</v>
      </c>
      <c r="L138" s="9">
        <v>2024</v>
      </c>
      <c r="M138" s="8" t="s">
        <v>993</v>
      </c>
      <c r="N138" s="8" t="s">
        <v>56</v>
      </c>
      <c r="O138" s="8" t="s">
        <v>57</v>
      </c>
      <c r="P138" s="6" t="s">
        <v>116</v>
      </c>
      <c r="Q138" s="8" t="s">
        <v>81</v>
      </c>
      <c r="R138" s="10" t="s">
        <v>994</v>
      </c>
      <c r="S138" s="11"/>
      <c r="T138" s="6"/>
      <c r="U138" s="27" t="str">
        <f>HYPERLINK("https://media.infra-m.ru/2106/2106195/cover/2106195.jpg", "Обложка")</f>
        <v>Обложка</v>
      </c>
      <c r="V138" s="27" t="str">
        <f>HYPERLINK("https://znanium.com/catalog/product/2106195", "Ознакомиться")</f>
        <v>Ознакомиться</v>
      </c>
      <c r="W138" s="8" t="s">
        <v>91</v>
      </c>
      <c r="X138" s="6"/>
      <c r="Y138" s="6"/>
      <c r="Z138" s="6"/>
      <c r="AA138" s="6" t="s">
        <v>73</v>
      </c>
    </row>
    <row r="139" spans="1:27" s="4" customFormat="1" ht="51.95" customHeight="1">
      <c r="A139" s="5">
        <v>0</v>
      </c>
      <c r="B139" s="6" t="s">
        <v>995</v>
      </c>
      <c r="C139" s="7">
        <v>974.9</v>
      </c>
      <c r="D139" s="8" t="s">
        <v>996</v>
      </c>
      <c r="E139" s="8" t="s">
        <v>997</v>
      </c>
      <c r="F139" s="8" t="s">
        <v>998</v>
      </c>
      <c r="G139" s="6" t="s">
        <v>37</v>
      </c>
      <c r="H139" s="6" t="s">
        <v>265</v>
      </c>
      <c r="I139" s="8"/>
      <c r="J139" s="9">
        <v>1</v>
      </c>
      <c r="K139" s="9">
        <v>304</v>
      </c>
      <c r="L139" s="9">
        <v>2019</v>
      </c>
      <c r="M139" s="8" t="s">
        <v>999</v>
      </c>
      <c r="N139" s="8" t="s">
        <v>56</v>
      </c>
      <c r="O139" s="8" t="s">
        <v>57</v>
      </c>
      <c r="P139" s="6" t="s">
        <v>1000</v>
      </c>
      <c r="Q139" s="8" t="s">
        <v>43</v>
      </c>
      <c r="R139" s="10" t="s">
        <v>1001</v>
      </c>
      <c r="S139" s="11" t="s">
        <v>1002</v>
      </c>
      <c r="T139" s="6"/>
      <c r="U139" s="27" t="str">
        <f>HYPERLINK("https://media.infra-m.ru/1007/1007991/cover/1007991.jpg", "Обложка")</f>
        <v>Обложка</v>
      </c>
      <c r="V139" s="27" t="str">
        <f>HYPERLINK("https://znanium.com/catalog/product/1210237", "Ознакомиться")</f>
        <v>Ознакомиться</v>
      </c>
      <c r="W139" s="8" t="s">
        <v>269</v>
      </c>
      <c r="X139" s="6"/>
      <c r="Y139" s="6"/>
      <c r="Z139" s="6"/>
      <c r="AA139" s="6" t="s">
        <v>47</v>
      </c>
    </row>
    <row r="140" spans="1:27" s="4" customFormat="1" ht="51.95" customHeight="1">
      <c r="A140" s="5">
        <v>0</v>
      </c>
      <c r="B140" s="6" t="s">
        <v>1003</v>
      </c>
      <c r="C140" s="7">
        <v>994</v>
      </c>
      <c r="D140" s="8" t="s">
        <v>1004</v>
      </c>
      <c r="E140" s="8" t="s">
        <v>997</v>
      </c>
      <c r="F140" s="8" t="s">
        <v>1005</v>
      </c>
      <c r="G140" s="6" t="s">
        <v>67</v>
      </c>
      <c r="H140" s="6" t="s">
        <v>53</v>
      </c>
      <c r="I140" s="8" t="s">
        <v>174</v>
      </c>
      <c r="J140" s="9">
        <v>1</v>
      </c>
      <c r="K140" s="9">
        <v>217</v>
      </c>
      <c r="L140" s="9">
        <v>2024</v>
      </c>
      <c r="M140" s="8" t="s">
        <v>1006</v>
      </c>
      <c r="N140" s="8" t="s">
        <v>56</v>
      </c>
      <c r="O140" s="8" t="s">
        <v>57</v>
      </c>
      <c r="P140" s="6" t="s">
        <v>69</v>
      </c>
      <c r="Q140" s="8" t="s">
        <v>150</v>
      </c>
      <c r="R140" s="10" t="s">
        <v>388</v>
      </c>
      <c r="S140" s="11" t="s">
        <v>1007</v>
      </c>
      <c r="T140" s="6"/>
      <c r="U140" s="27" t="str">
        <f>HYPERLINK("https://media.infra-m.ru/2083/2083892/cover/2083892.jpg", "Обложка")</f>
        <v>Обложка</v>
      </c>
      <c r="V140" s="27" t="str">
        <f>HYPERLINK("https://znanium.com/catalog/product/1907056", "Ознакомиться")</f>
        <v>Ознакомиться</v>
      </c>
      <c r="W140" s="8" t="s">
        <v>46</v>
      </c>
      <c r="X140" s="6"/>
      <c r="Y140" s="6"/>
      <c r="Z140" s="6"/>
      <c r="AA140" s="6" t="s">
        <v>510</v>
      </c>
    </row>
    <row r="141" spans="1:27" s="4" customFormat="1" ht="42" customHeight="1">
      <c r="A141" s="5">
        <v>0</v>
      </c>
      <c r="B141" s="6" t="s">
        <v>1008</v>
      </c>
      <c r="C141" s="13">
        <v>2560</v>
      </c>
      <c r="D141" s="8" t="s">
        <v>1009</v>
      </c>
      <c r="E141" s="8" t="s">
        <v>1010</v>
      </c>
      <c r="F141" s="8" t="s">
        <v>1011</v>
      </c>
      <c r="G141" s="6" t="s">
        <v>37</v>
      </c>
      <c r="H141" s="6" t="s">
        <v>239</v>
      </c>
      <c r="I141" s="8"/>
      <c r="J141" s="9">
        <v>1</v>
      </c>
      <c r="K141" s="9">
        <v>568</v>
      </c>
      <c r="L141" s="9">
        <v>2023</v>
      </c>
      <c r="M141" s="8" t="s">
        <v>1012</v>
      </c>
      <c r="N141" s="8" t="s">
        <v>56</v>
      </c>
      <c r="O141" s="8" t="s">
        <v>57</v>
      </c>
      <c r="P141" s="6" t="s">
        <v>69</v>
      </c>
      <c r="Q141" s="8" t="s">
        <v>58</v>
      </c>
      <c r="R141" s="10" t="s">
        <v>1013</v>
      </c>
      <c r="S141" s="11"/>
      <c r="T141" s="6"/>
      <c r="U141" s="27" t="str">
        <f>HYPERLINK("https://media.infra-m.ru/1905/1905069/cover/1905069.jpg", "Обложка")</f>
        <v>Обложка</v>
      </c>
      <c r="V141" s="12"/>
      <c r="W141" s="8" t="s">
        <v>1014</v>
      </c>
      <c r="X141" s="6"/>
      <c r="Y141" s="6"/>
      <c r="Z141" s="6"/>
      <c r="AA141" s="6" t="s">
        <v>510</v>
      </c>
    </row>
    <row r="142" spans="1:27" s="4" customFormat="1" ht="51.95" customHeight="1">
      <c r="A142" s="5">
        <v>0</v>
      </c>
      <c r="B142" s="6" t="s">
        <v>1015</v>
      </c>
      <c r="C142" s="13">
        <v>1004.9</v>
      </c>
      <c r="D142" s="8" t="s">
        <v>1016</v>
      </c>
      <c r="E142" s="8" t="s">
        <v>1017</v>
      </c>
      <c r="F142" s="8" t="s">
        <v>1018</v>
      </c>
      <c r="G142" s="6" t="s">
        <v>52</v>
      </c>
      <c r="H142" s="6" t="s">
        <v>239</v>
      </c>
      <c r="I142" s="8"/>
      <c r="J142" s="9">
        <v>1</v>
      </c>
      <c r="K142" s="9">
        <v>224</v>
      </c>
      <c r="L142" s="9">
        <v>2023</v>
      </c>
      <c r="M142" s="8" t="s">
        <v>1019</v>
      </c>
      <c r="N142" s="8" t="s">
        <v>56</v>
      </c>
      <c r="O142" s="8" t="s">
        <v>57</v>
      </c>
      <c r="P142" s="6" t="s">
        <v>116</v>
      </c>
      <c r="Q142" s="8" t="s">
        <v>81</v>
      </c>
      <c r="R142" s="10" t="s">
        <v>1020</v>
      </c>
      <c r="S142" s="11"/>
      <c r="T142" s="6"/>
      <c r="U142" s="27" t="str">
        <f>HYPERLINK("https://media.infra-m.ru/1981/1981667/cover/1981667.jpg", "Обложка")</f>
        <v>Обложка</v>
      </c>
      <c r="V142" s="27" t="str">
        <f>HYPERLINK("https://znanium.com/catalog/product/1216885", "Ознакомиться")</f>
        <v>Ознакомиться</v>
      </c>
      <c r="W142" s="8" t="s">
        <v>539</v>
      </c>
      <c r="X142" s="6"/>
      <c r="Y142" s="6"/>
      <c r="Z142" s="6"/>
      <c r="AA142" s="6" t="s">
        <v>208</v>
      </c>
    </row>
    <row r="143" spans="1:27" s="4" customFormat="1" ht="51.95" customHeight="1">
      <c r="A143" s="5">
        <v>0</v>
      </c>
      <c r="B143" s="6" t="s">
        <v>1021</v>
      </c>
      <c r="C143" s="13">
        <v>2800</v>
      </c>
      <c r="D143" s="8" t="s">
        <v>1022</v>
      </c>
      <c r="E143" s="8" t="s">
        <v>1023</v>
      </c>
      <c r="F143" s="8" t="s">
        <v>1024</v>
      </c>
      <c r="G143" s="6" t="s">
        <v>67</v>
      </c>
      <c r="H143" s="6" t="s">
        <v>53</v>
      </c>
      <c r="I143" s="8" t="s">
        <v>114</v>
      </c>
      <c r="J143" s="9">
        <v>1</v>
      </c>
      <c r="K143" s="9">
        <v>624</v>
      </c>
      <c r="L143" s="9">
        <v>2023</v>
      </c>
      <c r="M143" s="8" t="s">
        <v>1025</v>
      </c>
      <c r="N143" s="8" t="s">
        <v>56</v>
      </c>
      <c r="O143" s="8" t="s">
        <v>57</v>
      </c>
      <c r="P143" s="6" t="s">
        <v>116</v>
      </c>
      <c r="Q143" s="8" t="s">
        <v>81</v>
      </c>
      <c r="R143" s="10" t="s">
        <v>1026</v>
      </c>
      <c r="S143" s="11"/>
      <c r="T143" s="6"/>
      <c r="U143" s="27" t="str">
        <f>HYPERLINK("https://media.infra-m.ru/1933/1933178/cover/1933178.jpg", "Обложка")</f>
        <v>Обложка</v>
      </c>
      <c r="V143" s="27" t="str">
        <f>HYPERLINK("https://znanium.com/catalog/product/1933178", "Ознакомиться")</f>
        <v>Ознакомиться</v>
      </c>
      <c r="W143" s="8" t="s">
        <v>72</v>
      </c>
      <c r="X143" s="6"/>
      <c r="Y143" s="6"/>
      <c r="Z143" s="6"/>
      <c r="AA143" s="6" t="s">
        <v>301</v>
      </c>
    </row>
    <row r="144" spans="1:27" s="4" customFormat="1" ht="44.1" customHeight="1">
      <c r="A144" s="5">
        <v>0</v>
      </c>
      <c r="B144" s="6" t="s">
        <v>1027</v>
      </c>
      <c r="C144" s="7">
        <v>494.9</v>
      </c>
      <c r="D144" s="8" t="s">
        <v>1028</v>
      </c>
      <c r="E144" s="8" t="s">
        <v>1029</v>
      </c>
      <c r="F144" s="8" t="s">
        <v>1030</v>
      </c>
      <c r="G144" s="6" t="s">
        <v>37</v>
      </c>
      <c r="H144" s="6" t="s">
        <v>104</v>
      </c>
      <c r="I144" s="8"/>
      <c r="J144" s="9">
        <v>1</v>
      </c>
      <c r="K144" s="9">
        <v>160</v>
      </c>
      <c r="L144" s="9">
        <v>2017</v>
      </c>
      <c r="M144" s="8" t="s">
        <v>1031</v>
      </c>
      <c r="N144" s="8" t="s">
        <v>56</v>
      </c>
      <c r="O144" s="8" t="s">
        <v>57</v>
      </c>
      <c r="P144" s="6" t="s">
        <v>116</v>
      </c>
      <c r="Q144" s="8" t="s">
        <v>785</v>
      </c>
      <c r="R144" s="10" t="s">
        <v>1032</v>
      </c>
      <c r="S144" s="11"/>
      <c r="T144" s="6"/>
      <c r="U144" s="27" t="str">
        <f>HYPERLINK("https://media.infra-m.ru/0559/0559334/cover/559334.jpg", "Обложка")</f>
        <v>Обложка</v>
      </c>
      <c r="V144" s="27" t="str">
        <f>HYPERLINK("https://znanium.com/catalog/product/458389", "Ознакомиться")</f>
        <v>Ознакомиться</v>
      </c>
      <c r="W144" s="8" t="s">
        <v>948</v>
      </c>
      <c r="X144" s="6"/>
      <c r="Y144" s="6"/>
      <c r="Z144" s="6"/>
      <c r="AA144" s="6" t="s">
        <v>47</v>
      </c>
    </row>
    <row r="145" spans="1:27" s="4" customFormat="1" ht="51.95" customHeight="1">
      <c r="A145" s="5">
        <v>0</v>
      </c>
      <c r="B145" s="6" t="s">
        <v>1033</v>
      </c>
      <c r="C145" s="7">
        <v>734.9</v>
      </c>
      <c r="D145" s="8" t="s">
        <v>1034</v>
      </c>
      <c r="E145" s="8" t="s">
        <v>1035</v>
      </c>
      <c r="F145" s="8" t="s">
        <v>1036</v>
      </c>
      <c r="G145" s="6" t="s">
        <v>37</v>
      </c>
      <c r="H145" s="6" t="s">
        <v>53</v>
      </c>
      <c r="I145" s="8" t="s">
        <v>165</v>
      </c>
      <c r="J145" s="9">
        <v>1</v>
      </c>
      <c r="K145" s="9">
        <v>192</v>
      </c>
      <c r="L145" s="9">
        <v>2022</v>
      </c>
      <c r="M145" s="8" t="s">
        <v>1037</v>
      </c>
      <c r="N145" s="8" t="s">
        <v>56</v>
      </c>
      <c r="O145" s="8" t="s">
        <v>57</v>
      </c>
      <c r="P145" s="6" t="s">
        <v>42</v>
      </c>
      <c r="Q145" s="8" t="s">
        <v>43</v>
      </c>
      <c r="R145" s="10" t="s">
        <v>1038</v>
      </c>
      <c r="S145" s="11" t="s">
        <v>1039</v>
      </c>
      <c r="T145" s="6"/>
      <c r="U145" s="27" t="str">
        <f>HYPERLINK("https://media.infra-m.ru/1817/1817962/cover/1817962.jpg", "Обложка")</f>
        <v>Обложка</v>
      </c>
      <c r="V145" s="27" t="str">
        <f>HYPERLINK("https://znanium.com/catalog/product/1817962", "Ознакомиться")</f>
        <v>Ознакомиться</v>
      </c>
      <c r="W145" s="8" t="s">
        <v>928</v>
      </c>
      <c r="X145" s="6"/>
      <c r="Y145" s="6"/>
      <c r="Z145" s="6"/>
      <c r="AA145" s="6" t="s">
        <v>84</v>
      </c>
    </row>
    <row r="146" spans="1:27" s="4" customFormat="1" ht="51.95" customHeight="1">
      <c r="A146" s="5">
        <v>0</v>
      </c>
      <c r="B146" s="6" t="s">
        <v>1040</v>
      </c>
      <c r="C146" s="7">
        <v>398</v>
      </c>
      <c r="D146" s="8" t="s">
        <v>1041</v>
      </c>
      <c r="E146" s="8" t="s">
        <v>1042</v>
      </c>
      <c r="F146" s="8" t="s">
        <v>1043</v>
      </c>
      <c r="G146" s="6" t="s">
        <v>52</v>
      </c>
      <c r="H146" s="6" t="s">
        <v>98</v>
      </c>
      <c r="I146" s="8" t="s">
        <v>832</v>
      </c>
      <c r="J146" s="9">
        <v>1</v>
      </c>
      <c r="K146" s="9">
        <v>129</v>
      </c>
      <c r="L146" s="9">
        <v>2023</v>
      </c>
      <c r="M146" s="8" t="s">
        <v>1044</v>
      </c>
      <c r="N146" s="8" t="s">
        <v>56</v>
      </c>
      <c r="O146" s="8" t="s">
        <v>57</v>
      </c>
      <c r="P146" s="6" t="s">
        <v>42</v>
      </c>
      <c r="Q146" s="8" t="s">
        <v>43</v>
      </c>
      <c r="R146" s="10" t="s">
        <v>1045</v>
      </c>
      <c r="S146" s="11"/>
      <c r="T146" s="6"/>
      <c r="U146" s="27" t="str">
        <f>HYPERLINK("https://media.infra-m.ru/2036/2036542/cover/2036542.jpg", "Обложка")</f>
        <v>Обложка</v>
      </c>
      <c r="V146" s="27" t="str">
        <f>HYPERLINK("https://znanium.com/catalog/product/989381", "Ознакомиться")</f>
        <v>Ознакомиться</v>
      </c>
      <c r="W146" s="8" t="s">
        <v>1046</v>
      </c>
      <c r="X146" s="6"/>
      <c r="Y146" s="6"/>
      <c r="Z146" s="6"/>
      <c r="AA146" s="6" t="s">
        <v>1047</v>
      </c>
    </row>
    <row r="147" spans="1:27" s="4" customFormat="1" ht="51.95" customHeight="1">
      <c r="A147" s="5">
        <v>0</v>
      </c>
      <c r="B147" s="6" t="s">
        <v>1048</v>
      </c>
      <c r="C147" s="13">
        <v>1674</v>
      </c>
      <c r="D147" s="8" t="s">
        <v>1049</v>
      </c>
      <c r="E147" s="8" t="s">
        <v>1050</v>
      </c>
      <c r="F147" s="8" t="s">
        <v>1051</v>
      </c>
      <c r="G147" s="6" t="s">
        <v>37</v>
      </c>
      <c r="H147" s="6" t="s">
        <v>385</v>
      </c>
      <c r="I147" s="8"/>
      <c r="J147" s="9">
        <v>1</v>
      </c>
      <c r="K147" s="9">
        <v>364</v>
      </c>
      <c r="L147" s="9">
        <v>2024</v>
      </c>
      <c r="M147" s="8" t="s">
        <v>1052</v>
      </c>
      <c r="N147" s="8" t="s">
        <v>56</v>
      </c>
      <c r="O147" s="8" t="s">
        <v>57</v>
      </c>
      <c r="P147" s="6" t="s">
        <v>69</v>
      </c>
      <c r="Q147" s="8" t="s">
        <v>43</v>
      </c>
      <c r="R147" s="10" t="s">
        <v>1053</v>
      </c>
      <c r="S147" s="11" t="s">
        <v>1054</v>
      </c>
      <c r="T147" s="6"/>
      <c r="U147" s="27" t="str">
        <f>HYPERLINK("https://media.infra-m.ru/2102/2102727/cover/2102727.jpg", "Обложка")</f>
        <v>Обложка</v>
      </c>
      <c r="V147" s="27" t="str">
        <f>HYPERLINK("https://znanium.com/catalog/product/967687", "Ознакомиться")</f>
        <v>Ознакомиться</v>
      </c>
      <c r="W147" s="8" t="s">
        <v>928</v>
      </c>
      <c r="X147" s="6"/>
      <c r="Y147" s="6"/>
      <c r="Z147" s="6"/>
      <c r="AA147" s="6" t="s">
        <v>84</v>
      </c>
    </row>
    <row r="148" spans="1:27" s="4" customFormat="1" ht="51.95" customHeight="1">
      <c r="A148" s="5">
        <v>0</v>
      </c>
      <c r="B148" s="6" t="s">
        <v>1055</v>
      </c>
      <c r="C148" s="13">
        <v>1764</v>
      </c>
      <c r="D148" s="8" t="s">
        <v>1056</v>
      </c>
      <c r="E148" s="8" t="s">
        <v>1057</v>
      </c>
      <c r="F148" s="8" t="s">
        <v>1058</v>
      </c>
      <c r="G148" s="6" t="s">
        <v>67</v>
      </c>
      <c r="H148" s="6" t="s">
        <v>38</v>
      </c>
      <c r="I148" s="8"/>
      <c r="J148" s="9">
        <v>1</v>
      </c>
      <c r="K148" s="9">
        <v>380</v>
      </c>
      <c r="L148" s="9">
        <v>2024</v>
      </c>
      <c r="M148" s="8" t="s">
        <v>1059</v>
      </c>
      <c r="N148" s="8" t="s">
        <v>56</v>
      </c>
      <c r="O148" s="8" t="s">
        <v>57</v>
      </c>
      <c r="P148" s="6" t="s">
        <v>69</v>
      </c>
      <c r="Q148" s="8" t="s">
        <v>150</v>
      </c>
      <c r="R148" s="10" t="s">
        <v>1060</v>
      </c>
      <c r="S148" s="11" t="s">
        <v>1061</v>
      </c>
      <c r="T148" s="6"/>
      <c r="U148" s="27" t="str">
        <f>HYPERLINK("https://media.infra-m.ru/2107/2107397/cover/2107397.jpg", "Обложка")</f>
        <v>Обложка</v>
      </c>
      <c r="V148" s="27" t="str">
        <f>HYPERLINK("https://znanium.com/catalog/product/1906702", "Ознакомиться")</f>
        <v>Ознакомиться</v>
      </c>
      <c r="W148" s="8" t="s">
        <v>46</v>
      </c>
      <c r="X148" s="6"/>
      <c r="Y148" s="6"/>
      <c r="Z148" s="6"/>
      <c r="AA148" s="6" t="s">
        <v>1062</v>
      </c>
    </row>
    <row r="149" spans="1:27" s="4" customFormat="1" ht="42" customHeight="1">
      <c r="A149" s="5">
        <v>0</v>
      </c>
      <c r="B149" s="6" t="s">
        <v>1063</v>
      </c>
      <c r="C149" s="13">
        <v>1109.9000000000001</v>
      </c>
      <c r="D149" s="8" t="s">
        <v>1064</v>
      </c>
      <c r="E149" s="8" t="s">
        <v>1065</v>
      </c>
      <c r="F149" s="8" t="s">
        <v>1066</v>
      </c>
      <c r="G149" s="6" t="s">
        <v>37</v>
      </c>
      <c r="H149" s="6" t="s">
        <v>98</v>
      </c>
      <c r="I149" s="8" t="s">
        <v>1067</v>
      </c>
      <c r="J149" s="9">
        <v>10</v>
      </c>
      <c r="K149" s="9">
        <v>380</v>
      </c>
      <c r="L149" s="9">
        <v>2017</v>
      </c>
      <c r="M149" s="8" t="s">
        <v>1068</v>
      </c>
      <c r="N149" s="8" t="s">
        <v>56</v>
      </c>
      <c r="O149" s="8" t="s">
        <v>57</v>
      </c>
      <c r="P149" s="6" t="s">
        <v>69</v>
      </c>
      <c r="Q149" s="8" t="s">
        <v>43</v>
      </c>
      <c r="R149" s="10" t="s">
        <v>275</v>
      </c>
      <c r="S149" s="11"/>
      <c r="T149" s="6"/>
      <c r="U149" s="27" t="str">
        <f>HYPERLINK("https://media.infra-m.ru/0560/0560966/cover/560966.jpg", "Обложка")</f>
        <v>Обложка</v>
      </c>
      <c r="V149" s="27" t="str">
        <f>HYPERLINK("https://znanium.com/catalog/product/556473", "Ознакомиться")</f>
        <v>Ознакомиться</v>
      </c>
      <c r="W149" s="8" t="s">
        <v>1069</v>
      </c>
      <c r="X149" s="6"/>
      <c r="Y149" s="6"/>
      <c r="Z149" s="6"/>
      <c r="AA149" s="6" t="s">
        <v>201</v>
      </c>
    </row>
    <row r="150" spans="1:27" s="4" customFormat="1" ht="51.95" customHeight="1">
      <c r="A150" s="5">
        <v>0</v>
      </c>
      <c r="B150" s="6" t="s">
        <v>1070</v>
      </c>
      <c r="C150" s="13">
        <v>1540</v>
      </c>
      <c r="D150" s="8" t="s">
        <v>1071</v>
      </c>
      <c r="E150" s="8" t="s">
        <v>1072</v>
      </c>
      <c r="F150" s="8" t="s">
        <v>1073</v>
      </c>
      <c r="G150" s="6" t="s">
        <v>67</v>
      </c>
      <c r="H150" s="6" t="s">
        <v>53</v>
      </c>
      <c r="I150" s="8" t="s">
        <v>191</v>
      </c>
      <c r="J150" s="9">
        <v>1</v>
      </c>
      <c r="K150" s="9">
        <v>343</v>
      </c>
      <c r="L150" s="9">
        <v>2023</v>
      </c>
      <c r="M150" s="8" t="s">
        <v>1074</v>
      </c>
      <c r="N150" s="8" t="s">
        <v>56</v>
      </c>
      <c r="O150" s="8" t="s">
        <v>57</v>
      </c>
      <c r="P150" s="6" t="s">
        <v>69</v>
      </c>
      <c r="Q150" s="8" t="s">
        <v>43</v>
      </c>
      <c r="R150" s="10" t="s">
        <v>285</v>
      </c>
      <c r="S150" s="11" t="s">
        <v>1075</v>
      </c>
      <c r="T150" s="6"/>
      <c r="U150" s="27" t="str">
        <f>HYPERLINK("https://media.infra-m.ru/2049/2049698/cover/2049698.jpg", "Обложка")</f>
        <v>Обложка</v>
      </c>
      <c r="V150" s="27" t="str">
        <f>HYPERLINK("https://znanium.com/catalog/product/2049698", "Ознакомиться")</f>
        <v>Ознакомиться</v>
      </c>
      <c r="W150" s="8" t="s">
        <v>46</v>
      </c>
      <c r="X150" s="6"/>
      <c r="Y150" s="6"/>
      <c r="Z150" s="6"/>
      <c r="AA150" s="6" t="s">
        <v>510</v>
      </c>
    </row>
    <row r="151" spans="1:27" s="4" customFormat="1" ht="51.95" customHeight="1">
      <c r="A151" s="5">
        <v>0</v>
      </c>
      <c r="B151" s="6" t="s">
        <v>1076</v>
      </c>
      <c r="C151" s="7">
        <v>884</v>
      </c>
      <c r="D151" s="8" t="s">
        <v>1077</v>
      </c>
      <c r="E151" s="8" t="s">
        <v>1042</v>
      </c>
      <c r="F151" s="8" t="s">
        <v>1078</v>
      </c>
      <c r="G151" s="6" t="s">
        <v>52</v>
      </c>
      <c r="H151" s="6" t="s">
        <v>53</v>
      </c>
      <c r="I151" s="8" t="s">
        <v>165</v>
      </c>
      <c r="J151" s="9">
        <v>1</v>
      </c>
      <c r="K151" s="9">
        <v>191</v>
      </c>
      <c r="L151" s="9">
        <v>2024</v>
      </c>
      <c r="M151" s="8" t="s">
        <v>1079</v>
      </c>
      <c r="N151" s="8" t="s">
        <v>56</v>
      </c>
      <c r="O151" s="8" t="s">
        <v>57</v>
      </c>
      <c r="P151" s="6" t="s">
        <v>42</v>
      </c>
      <c r="Q151" s="8" t="s">
        <v>43</v>
      </c>
      <c r="R151" s="10" t="s">
        <v>1080</v>
      </c>
      <c r="S151" s="11" t="s">
        <v>1081</v>
      </c>
      <c r="T151" s="6"/>
      <c r="U151" s="27" t="str">
        <f>HYPERLINK("https://media.infra-m.ru/2053/2053972/cover/2053972.jpg", "Обложка")</f>
        <v>Обложка</v>
      </c>
      <c r="V151" s="27" t="str">
        <f>HYPERLINK("https://znanium.com/catalog/product/1744673", "Ознакомиться")</f>
        <v>Ознакомиться</v>
      </c>
      <c r="W151" s="8"/>
      <c r="X151" s="6"/>
      <c r="Y151" s="6"/>
      <c r="Z151" s="6"/>
      <c r="AA151" s="6" t="s">
        <v>1082</v>
      </c>
    </row>
    <row r="152" spans="1:27" s="4" customFormat="1" ht="51.95" customHeight="1">
      <c r="A152" s="5">
        <v>0</v>
      </c>
      <c r="B152" s="6" t="s">
        <v>1083</v>
      </c>
      <c r="C152" s="13">
        <v>1400</v>
      </c>
      <c r="D152" s="8" t="s">
        <v>1084</v>
      </c>
      <c r="E152" s="8" t="s">
        <v>1072</v>
      </c>
      <c r="F152" s="8" t="s">
        <v>1085</v>
      </c>
      <c r="G152" s="6" t="s">
        <v>67</v>
      </c>
      <c r="H152" s="6" t="s">
        <v>53</v>
      </c>
      <c r="I152" s="8" t="s">
        <v>165</v>
      </c>
      <c r="J152" s="9">
        <v>1</v>
      </c>
      <c r="K152" s="9">
        <v>311</v>
      </c>
      <c r="L152" s="9">
        <v>2022</v>
      </c>
      <c r="M152" s="8" t="s">
        <v>1086</v>
      </c>
      <c r="N152" s="8" t="s">
        <v>56</v>
      </c>
      <c r="O152" s="8" t="s">
        <v>57</v>
      </c>
      <c r="P152" s="6" t="s">
        <v>42</v>
      </c>
      <c r="Q152" s="8" t="s">
        <v>43</v>
      </c>
      <c r="R152" s="10" t="s">
        <v>1087</v>
      </c>
      <c r="S152" s="11" t="s">
        <v>1088</v>
      </c>
      <c r="T152" s="6"/>
      <c r="U152" s="27" t="str">
        <f>HYPERLINK("https://media.infra-m.ru/1948/1948207/cover/1948207.jpg", "Обложка")</f>
        <v>Обложка</v>
      </c>
      <c r="V152" s="27" t="str">
        <f>HYPERLINK("https://znanium.com/catalog/product/1842532", "Ознакомиться")</f>
        <v>Ознакомиться</v>
      </c>
      <c r="W152" s="8" t="s">
        <v>1089</v>
      </c>
      <c r="X152" s="6"/>
      <c r="Y152" s="6"/>
      <c r="Z152" s="6"/>
      <c r="AA152" s="6" t="s">
        <v>62</v>
      </c>
    </row>
    <row r="153" spans="1:27" s="4" customFormat="1" ht="51.95" customHeight="1">
      <c r="A153" s="5">
        <v>0</v>
      </c>
      <c r="B153" s="6" t="s">
        <v>1090</v>
      </c>
      <c r="C153" s="7">
        <v>844</v>
      </c>
      <c r="D153" s="8" t="s">
        <v>1091</v>
      </c>
      <c r="E153" s="8" t="s">
        <v>1072</v>
      </c>
      <c r="F153" s="8" t="s">
        <v>1092</v>
      </c>
      <c r="G153" s="6" t="s">
        <v>37</v>
      </c>
      <c r="H153" s="6" t="s">
        <v>53</v>
      </c>
      <c r="I153" s="8" t="s">
        <v>165</v>
      </c>
      <c r="J153" s="9">
        <v>1</v>
      </c>
      <c r="K153" s="9">
        <v>184</v>
      </c>
      <c r="L153" s="9">
        <v>2024</v>
      </c>
      <c r="M153" s="8" t="s">
        <v>1093</v>
      </c>
      <c r="N153" s="8" t="s">
        <v>56</v>
      </c>
      <c r="O153" s="8" t="s">
        <v>57</v>
      </c>
      <c r="P153" s="6" t="s">
        <v>42</v>
      </c>
      <c r="Q153" s="8" t="s">
        <v>43</v>
      </c>
      <c r="R153" s="10" t="s">
        <v>132</v>
      </c>
      <c r="S153" s="11" t="s">
        <v>1094</v>
      </c>
      <c r="T153" s="6"/>
      <c r="U153" s="27" t="str">
        <f>HYPERLINK("https://media.infra-m.ru/2083/2083419/cover/2083419.jpg", "Обложка")</f>
        <v>Обложка</v>
      </c>
      <c r="V153" s="27" t="str">
        <f>HYPERLINK("https://znanium.com/catalog/product/1816813", "Ознакомиться")</f>
        <v>Ознакомиться</v>
      </c>
      <c r="W153" s="8" t="s">
        <v>118</v>
      </c>
      <c r="X153" s="6"/>
      <c r="Y153" s="6"/>
      <c r="Z153" s="6"/>
      <c r="AA153" s="6" t="s">
        <v>208</v>
      </c>
    </row>
    <row r="154" spans="1:27" s="4" customFormat="1" ht="51.95" customHeight="1">
      <c r="A154" s="5">
        <v>0</v>
      </c>
      <c r="B154" s="6" t="s">
        <v>1095</v>
      </c>
      <c r="C154" s="7">
        <v>144.9</v>
      </c>
      <c r="D154" s="8" t="s">
        <v>1096</v>
      </c>
      <c r="E154" s="8" t="s">
        <v>1097</v>
      </c>
      <c r="F154" s="8" t="s">
        <v>1098</v>
      </c>
      <c r="G154" s="6" t="s">
        <v>52</v>
      </c>
      <c r="H154" s="6" t="s">
        <v>98</v>
      </c>
      <c r="I154" s="8" t="s">
        <v>297</v>
      </c>
      <c r="J154" s="9">
        <v>1</v>
      </c>
      <c r="K154" s="9">
        <v>96</v>
      </c>
      <c r="L154" s="9">
        <v>2023</v>
      </c>
      <c r="M154" s="8" t="s">
        <v>1099</v>
      </c>
      <c r="N154" s="8" t="s">
        <v>56</v>
      </c>
      <c r="O154" s="8" t="s">
        <v>57</v>
      </c>
      <c r="P154" s="6" t="s">
        <v>299</v>
      </c>
      <c r="Q154" s="8" t="s">
        <v>43</v>
      </c>
      <c r="R154" s="10" t="s">
        <v>1100</v>
      </c>
      <c r="S154" s="11"/>
      <c r="T154" s="6"/>
      <c r="U154" s="12"/>
      <c r="V154" s="27" t="str">
        <f>HYPERLINK("https://znanium.com/catalog/product/125265", "Ознакомиться")</f>
        <v>Ознакомиться</v>
      </c>
      <c r="W154" s="8"/>
      <c r="X154" s="6"/>
      <c r="Y154" s="6"/>
      <c r="Z154" s="6"/>
      <c r="AA154" s="6" t="s">
        <v>135</v>
      </c>
    </row>
    <row r="155" spans="1:27" s="4" customFormat="1" ht="44.1" customHeight="1">
      <c r="A155" s="5">
        <v>0</v>
      </c>
      <c r="B155" s="6" t="s">
        <v>1101</v>
      </c>
      <c r="C155" s="7">
        <v>584</v>
      </c>
      <c r="D155" s="8" t="s">
        <v>1102</v>
      </c>
      <c r="E155" s="8" t="s">
        <v>1103</v>
      </c>
      <c r="F155" s="8" t="s">
        <v>1104</v>
      </c>
      <c r="G155" s="6" t="s">
        <v>52</v>
      </c>
      <c r="H155" s="6" t="s">
        <v>53</v>
      </c>
      <c r="I155" s="8" t="s">
        <v>165</v>
      </c>
      <c r="J155" s="9">
        <v>1</v>
      </c>
      <c r="K155" s="9">
        <v>122</v>
      </c>
      <c r="L155" s="9">
        <v>2023</v>
      </c>
      <c r="M155" s="8" t="s">
        <v>1105</v>
      </c>
      <c r="N155" s="8" t="s">
        <v>56</v>
      </c>
      <c r="O155" s="8" t="s">
        <v>57</v>
      </c>
      <c r="P155" s="6" t="s">
        <v>42</v>
      </c>
      <c r="Q155" s="8" t="s">
        <v>43</v>
      </c>
      <c r="R155" s="10" t="s">
        <v>285</v>
      </c>
      <c r="S155" s="11"/>
      <c r="T155" s="6"/>
      <c r="U155" s="27" t="str">
        <f>HYPERLINK("https://media.infra-m.ru/2020/2020592/cover/2020592.jpg", "Обложка")</f>
        <v>Обложка</v>
      </c>
      <c r="V155" s="27" t="str">
        <f>HYPERLINK("https://znanium.com/catalog/product/1840474", "Ознакомиться")</f>
        <v>Ознакомиться</v>
      </c>
      <c r="W155" s="8"/>
      <c r="X155" s="6"/>
      <c r="Y155" s="6"/>
      <c r="Z155" s="6"/>
      <c r="AA155" s="6" t="s">
        <v>540</v>
      </c>
    </row>
    <row r="156" spans="1:27" s="4" customFormat="1" ht="51.95" customHeight="1">
      <c r="A156" s="5">
        <v>0</v>
      </c>
      <c r="B156" s="6" t="s">
        <v>1106</v>
      </c>
      <c r="C156" s="7">
        <v>724.9</v>
      </c>
      <c r="D156" s="8" t="s">
        <v>1107</v>
      </c>
      <c r="E156" s="8" t="s">
        <v>1108</v>
      </c>
      <c r="F156" s="8" t="s">
        <v>1109</v>
      </c>
      <c r="G156" s="6" t="s">
        <v>37</v>
      </c>
      <c r="H156" s="6" t="s">
        <v>38</v>
      </c>
      <c r="I156" s="8" t="s">
        <v>1110</v>
      </c>
      <c r="J156" s="9">
        <v>1</v>
      </c>
      <c r="K156" s="9">
        <v>206</v>
      </c>
      <c r="L156" s="9">
        <v>2020</v>
      </c>
      <c r="M156" s="8" t="s">
        <v>1111</v>
      </c>
      <c r="N156" s="8" t="s">
        <v>56</v>
      </c>
      <c r="O156" s="8" t="s">
        <v>57</v>
      </c>
      <c r="P156" s="6" t="s">
        <v>116</v>
      </c>
      <c r="Q156" s="8" t="s">
        <v>150</v>
      </c>
      <c r="R156" s="10" t="s">
        <v>1112</v>
      </c>
      <c r="S156" s="11"/>
      <c r="T156" s="6"/>
      <c r="U156" s="27" t="str">
        <f>HYPERLINK("https://media.infra-m.ru/1047/1047111/cover/1047111.jpg", "Обложка")</f>
        <v>Обложка</v>
      </c>
      <c r="V156" s="27" t="str">
        <f>HYPERLINK("https://znanium.com/catalog/product/937518", "Ознакомиться")</f>
        <v>Ознакомиться</v>
      </c>
      <c r="W156" s="8" t="s">
        <v>1113</v>
      </c>
      <c r="X156" s="6"/>
      <c r="Y156" s="6"/>
      <c r="Z156" s="6"/>
      <c r="AA156" s="6" t="s">
        <v>253</v>
      </c>
    </row>
    <row r="157" spans="1:27" s="4" customFormat="1" ht="51.95" customHeight="1">
      <c r="A157" s="5">
        <v>0</v>
      </c>
      <c r="B157" s="6" t="s">
        <v>1114</v>
      </c>
      <c r="C157" s="7">
        <v>640</v>
      </c>
      <c r="D157" s="8" t="s">
        <v>1115</v>
      </c>
      <c r="E157" s="8" t="s">
        <v>1116</v>
      </c>
      <c r="F157" s="8" t="s">
        <v>1117</v>
      </c>
      <c r="G157" s="6" t="s">
        <v>52</v>
      </c>
      <c r="H157" s="6" t="s">
        <v>53</v>
      </c>
      <c r="I157" s="8" t="s">
        <v>114</v>
      </c>
      <c r="J157" s="9">
        <v>1</v>
      </c>
      <c r="K157" s="9">
        <v>142</v>
      </c>
      <c r="L157" s="9">
        <v>2023</v>
      </c>
      <c r="M157" s="8" t="s">
        <v>1118</v>
      </c>
      <c r="N157" s="8" t="s">
        <v>56</v>
      </c>
      <c r="O157" s="8" t="s">
        <v>57</v>
      </c>
      <c r="P157" s="6" t="s">
        <v>116</v>
      </c>
      <c r="Q157" s="8" t="s">
        <v>81</v>
      </c>
      <c r="R157" s="10" t="s">
        <v>1119</v>
      </c>
      <c r="S157" s="11"/>
      <c r="T157" s="6"/>
      <c r="U157" s="27" t="str">
        <f>HYPERLINK("https://media.infra-m.ru/1905/1905073/cover/1905073.jpg", "Обложка")</f>
        <v>Обложка</v>
      </c>
      <c r="V157" s="27" t="str">
        <f>HYPERLINK("https://znanium.com/catalog/product/1905073", "Ознакомиться")</f>
        <v>Ознакомиться</v>
      </c>
      <c r="W157" s="8" t="s">
        <v>72</v>
      </c>
      <c r="X157" s="6"/>
      <c r="Y157" s="6"/>
      <c r="Z157" s="6"/>
      <c r="AA157" s="6" t="s">
        <v>1120</v>
      </c>
    </row>
    <row r="158" spans="1:27" s="4" customFormat="1" ht="44.1" customHeight="1">
      <c r="A158" s="5">
        <v>0</v>
      </c>
      <c r="B158" s="6" t="s">
        <v>1121</v>
      </c>
      <c r="C158" s="13">
        <v>2870</v>
      </c>
      <c r="D158" s="8" t="s">
        <v>1122</v>
      </c>
      <c r="E158" s="8" t="s">
        <v>1123</v>
      </c>
      <c r="F158" s="8" t="s">
        <v>1124</v>
      </c>
      <c r="G158" s="6" t="s">
        <v>37</v>
      </c>
      <c r="H158" s="6" t="s">
        <v>239</v>
      </c>
      <c r="I158" s="8"/>
      <c r="J158" s="9">
        <v>1</v>
      </c>
      <c r="K158" s="9">
        <v>624</v>
      </c>
      <c r="L158" s="9">
        <v>2024</v>
      </c>
      <c r="M158" s="8" t="s">
        <v>1125</v>
      </c>
      <c r="N158" s="8" t="s">
        <v>56</v>
      </c>
      <c r="O158" s="8" t="s">
        <v>57</v>
      </c>
      <c r="P158" s="6" t="s">
        <v>69</v>
      </c>
      <c r="Q158" s="8" t="s">
        <v>150</v>
      </c>
      <c r="R158" s="10" t="s">
        <v>285</v>
      </c>
      <c r="S158" s="11"/>
      <c r="T158" s="6"/>
      <c r="U158" s="27" t="str">
        <f>HYPERLINK("https://media.infra-m.ru/2094/2094354/cover/2094354.jpg", "Обложка")</f>
        <v>Обложка</v>
      </c>
      <c r="V158" s="27" t="str">
        <f>HYPERLINK("https://znanium.com/catalog/product/2094354", "Ознакомиться")</f>
        <v>Ознакомиться</v>
      </c>
      <c r="W158" s="8" t="s">
        <v>46</v>
      </c>
      <c r="X158" s="6"/>
      <c r="Y158" s="6"/>
      <c r="Z158" s="6"/>
      <c r="AA158" s="6" t="s">
        <v>143</v>
      </c>
    </row>
    <row r="159" spans="1:27" s="4" customFormat="1" ht="51.95" customHeight="1">
      <c r="A159" s="5">
        <v>0</v>
      </c>
      <c r="B159" s="6" t="s">
        <v>1126</v>
      </c>
      <c r="C159" s="13">
        <v>1300</v>
      </c>
      <c r="D159" s="8" t="s">
        <v>1127</v>
      </c>
      <c r="E159" s="8" t="s">
        <v>1128</v>
      </c>
      <c r="F159" s="8" t="s">
        <v>1129</v>
      </c>
      <c r="G159" s="6" t="s">
        <v>37</v>
      </c>
      <c r="H159" s="6" t="s">
        <v>53</v>
      </c>
      <c r="I159" s="8" t="s">
        <v>191</v>
      </c>
      <c r="J159" s="9">
        <v>1</v>
      </c>
      <c r="K159" s="9">
        <v>273</v>
      </c>
      <c r="L159" s="9">
        <v>2024</v>
      </c>
      <c r="M159" s="8" t="s">
        <v>1130</v>
      </c>
      <c r="N159" s="8" t="s">
        <v>40</v>
      </c>
      <c r="O159" s="8" t="s">
        <v>41</v>
      </c>
      <c r="P159" s="6" t="s">
        <v>42</v>
      </c>
      <c r="Q159" s="8" t="s">
        <v>43</v>
      </c>
      <c r="R159" s="10" t="s">
        <v>1131</v>
      </c>
      <c r="S159" s="11"/>
      <c r="T159" s="6"/>
      <c r="U159" s="27" t="str">
        <f>HYPERLINK("https://media.infra-m.ru/1911/1911031/cover/1911031.jpg", "Обложка")</f>
        <v>Обложка</v>
      </c>
      <c r="V159" s="27" t="str">
        <f>HYPERLINK("https://znanium.com/catalog/product/1911031", "Ознакомиться")</f>
        <v>Ознакомиться</v>
      </c>
      <c r="W159" s="8" t="s">
        <v>46</v>
      </c>
      <c r="X159" s="6" t="s">
        <v>1132</v>
      </c>
      <c r="Y159" s="6"/>
      <c r="Z159" s="6"/>
      <c r="AA159" s="6" t="s">
        <v>1133</v>
      </c>
    </row>
    <row r="160" spans="1:27" s="4" customFormat="1" ht="51.95" customHeight="1">
      <c r="A160" s="5">
        <v>0</v>
      </c>
      <c r="B160" s="6" t="s">
        <v>1134</v>
      </c>
      <c r="C160" s="7">
        <v>770</v>
      </c>
      <c r="D160" s="8" t="s">
        <v>1135</v>
      </c>
      <c r="E160" s="8" t="s">
        <v>1136</v>
      </c>
      <c r="F160" s="8" t="s">
        <v>1137</v>
      </c>
      <c r="G160" s="6" t="s">
        <v>52</v>
      </c>
      <c r="H160" s="6" t="s">
        <v>53</v>
      </c>
      <c r="I160" s="8" t="s">
        <v>114</v>
      </c>
      <c r="J160" s="9">
        <v>1</v>
      </c>
      <c r="K160" s="9">
        <v>162</v>
      </c>
      <c r="L160" s="9">
        <v>2024</v>
      </c>
      <c r="M160" s="8" t="s">
        <v>1138</v>
      </c>
      <c r="N160" s="8" t="s">
        <v>56</v>
      </c>
      <c r="O160" s="8" t="s">
        <v>57</v>
      </c>
      <c r="P160" s="6" t="s">
        <v>116</v>
      </c>
      <c r="Q160" s="8" t="s">
        <v>81</v>
      </c>
      <c r="R160" s="10" t="s">
        <v>1139</v>
      </c>
      <c r="S160" s="11"/>
      <c r="T160" s="6"/>
      <c r="U160" s="27" t="str">
        <f>HYPERLINK("https://media.infra-m.ru/2080/2080733/cover/2080733.jpg", "Обложка")</f>
        <v>Обложка</v>
      </c>
      <c r="V160" s="27" t="str">
        <f>HYPERLINK("https://znanium.com/catalog/product/2080733", "Ознакомиться")</f>
        <v>Ознакомиться</v>
      </c>
      <c r="W160" s="8" t="s">
        <v>1140</v>
      </c>
      <c r="X160" s="6"/>
      <c r="Y160" s="6"/>
      <c r="Z160" s="6"/>
      <c r="AA160" s="6" t="s">
        <v>226</v>
      </c>
    </row>
    <row r="161" spans="1:27" s="4" customFormat="1" ht="51.95" customHeight="1">
      <c r="A161" s="5">
        <v>0</v>
      </c>
      <c r="B161" s="6" t="s">
        <v>1141</v>
      </c>
      <c r="C161" s="13">
        <v>2094.9</v>
      </c>
      <c r="D161" s="8" t="s">
        <v>1142</v>
      </c>
      <c r="E161" s="8" t="s">
        <v>1143</v>
      </c>
      <c r="F161" s="8" t="s">
        <v>1144</v>
      </c>
      <c r="G161" s="6" t="s">
        <v>37</v>
      </c>
      <c r="H161" s="6" t="s">
        <v>53</v>
      </c>
      <c r="I161" s="8" t="s">
        <v>130</v>
      </c>
      <c r="J161" s="9">
        <v>1</v>
      </c>
      <c r="K161" s="9">
        <v>544</v>
      </c>
      <c r="L161" s="9">
        <v>2021</v>
      </c>
      <c r="M161" s="8" t="s">
        <v>1145</v>
      </c>
      <c r="N161" s="8" t="s">
        <v>56</v>
      </c>
      <c r="O161" s="8" t="s">
        <v>57</v>
      </c>
      <c r="P161" s="6" t="s">
        <v>42</v>
      </c>
      <c r="Q161" s="8" t="s">
        <v>785</v>
      </c>
      <c r="R161" s="10" t="s">
        <v>1146</v>
      </c>
      <c r="S161" s="11" t="s">
        <v>1147</v>
      </c>
      <c r="T161" s="6"/>
      <c r="U161" s="27" t="str">
        <f>HYPERLINK("https://media.infra-m.ru/1353/1353153/cover/1353153.jpg", "Обложка")</f>
        <v>Обложка</v>
      </c>
      <c r="V161" s="27" t="str">
        <f>HYPERLINK("https://znanium.com/catalog/product/1353153", "Ознакомиться")</f>
        <v>Ознакомиться</v>
      </c>
      <c r="W161" s="8" t="s">
        <v>539</v>
      </c>
      <c r="X161" s="6"/>
      <c r="Y161" s="6"/>
      <c r="Z161" s="6"/>
      <c r="AA161" s="6" t="s">
        <v>308</v>
      </c>
    </row>
    <row r="162" spans="1:27" s="4" customFormat="1" ht="51.95" customHeight="1">
      <c r="A162" s="5">
        <v>0</v>
      </c>
      <c r="B162" s="6" t="s">
        <v>1148</v>
      </c>
      <c r="C162" s="13">
        <v>2114</v>
      </c>
      <c r="D162" s="8" t="s">
        <v>1149</v>
      </c>
      <c r="E162" s="8" t="s">
        <v>1150</v>
      </c>
      <c r="F162" s="8" t="s">
        <v>1151</v>
      </c>
      <c r="G162" s="6" t="s">
        <v>67</v>
      </c>
      <c r="H162" s="6" t="s">
        <v>53</v>
      </c>
      <c r="I162" s="8" t="s">
        <v>165</v>
      </c>
      <c r="J162" s="9">
        <v>1</v>
      </c>
      <c r="K162" s="9">
        <v>460</v>
      </c>
      <c r="L162" s="9">
        <v>2023</v>
      </c>
      <c r="M162" s="8" t="s">
        <v>1152</v>
      </c>
      <c r="N162" s="8" t="s">
        <v>40</v>
      </c>
      <c r="O162" s="8" t="s">
        <v>41</v>
      </c>
      <c r="P162" s="6" t="s">
        <v>69</v>
      </c>
      <c r="Q162" s="8" t="s">
        <v>43</v>
      </c>
      <c r="R162" s="10" t="s">
        <v>1153</v>
      </c>
      <c r="S162" s="11" t="s">
        <v>1154</v>
      </c>
      <c r="T162" s="6"/>
      <c r="U162" s="27" t="str">
        <f>HYPERLINK("https://media.infra-m.ru/2051/2051474/cover/2051474.jpg", "Обложка")</f>
        <v>Обложка</v>
      </c>
      <c r="V162" s="27" t="str">
        <f>HYPERLINK("https://znanium.com/catalog/product/1818633", "Ознакомиться")</f>
        <v>Ознакомиться</v>
      </c>
      <c r="W162" s="8" t="s">
        <v>1155</v>
      </c>
      <c r="X162" s="6"/>
      <c r="Y162" s="6"/>
      <c r="Z162" s="6"/>
      <c r="AA162" s="6" t="s">
        <v>417</v>
      </c>
    </row>
    <row r="163" spans="1:27" s="4" customFormat="1" ht="51.95" customHeight="1">
      <c r="A163" s="5">
        <v>0</v>
      </c>
      <c r="B163" s="6" t="s">
        <v>1156</v>
      </c>
      <c r="C163" s="13">
        <v>1704.9</v>
      </c>
      <c r="D163" s="8" t="s">
        <v>1157</v>
      </c>
      <c r="E163" s="8" t="s">
        <v>1158</v>
      </c>
      <c r="F163" s="8" t="s">
        <v>1159</v>
      </c>
      <c r="G163" s="6" t="s">
        <v>37</v>
      </c>
      <c r="H163" s="6" t="s">
        <v>265</v>
      </c>
      <c r="I163" s="8" t="s">
        <v>54</v>
      </c>
      <c r="J163" s="9">
        <v>1</v>
      </c>
      <c r="K163" s="9">
        <v>448</v>
      </c>
      <c r="L163" s="9">
        <v>2022</v>
      </c>
      <c r="M163" s="8" t="s">
        <v>1160</v>
      </c>
      <c r="N163" s="8" t="s">
        <v>40</v>
      </c>
      <c r="O163" s="8" t="s">
        <v>41</v>
      </c>
      <c r="P163" s="6" t="s">
        <v>69</v>
      </c>
      <c r="Q163" s="8" t="s">
        <v>43</v>
      </c>
      <c r="R163" s="10" t="s">
        <v>1161</v>
      </c>
      <c r="S163" s="11" t="s">
        <v>1162</v>
      </c>
      <c r="T163" s="6"/>
      <c r="U163" s="27" t="str">
        <f>HYPERLINK("https://media.infra-m.ru/1832/1832127/cover/1832127.jpg", "Обложка")</f>
        <v>Обложка</v>
      </c>
      <c r="V163" s="27" t="str">
        <f>HYPERLINK("https://znanium.com/catalog/product/1832127", "Ознакомиться")</f>
        <v>Ознакомиться</v>
      </c>
      <c r="W163" s="8" t="s">
        <v>1163</v>
      </c>
      <c r="X163" s="6"/>
      <c r="Y163" s="6"/>
      <c r="Z163" s="6"/>
      <c r="AA163" s="6" t="s">
        <v>548</v>
      </c>
    </row>
    <row r="164" spans="1:27" s="4" customFormat="1" ht="51.95" customHeight="1">
      <c r="A164" s="5">
        <v>0</v>
      </c>
      <c r="B164" s="6" t="s">
        <v>1164</v>
      </c>
      <c r="C164" s="7">
        <v>704.9</v>
      </c>
      <c r="D164" s="8" t="s">
        <v>1165</v>
      </c>
      <c r="E164" s="8" t="s">
        <v>1166</v>
      </c>
      <c r="F164" s="8" t="s">
        <v>1167</v>
      </c>
      <c r="G164" s="6" t="s">
        <v>37</v>
      </c>
      <c r="H164" s="6" t="s">
        <v>53</v>
      </c>
      <c r="I164" s="8" t="s">
        <v>1168</v>
      </c>
      <c r="J164" s="9">
        <v>1</v>
      </c>
      <c r="K164" s="9">
        <v>186</v>
      </c>
      <c r="L164" s="9">
        <v>2022</v>
      </c>
      <c r="M164" s="8" t="s">
        <v>1169</v>
      </c>
      <c r="N164" s="8" t="s">
        <v>56</v>
      </c>
      <c r="O164" s="8" t="s">
        <v>57</v>
      </c>
      <c r="P164" s="6" t="s">
        <v>42</v>
      </c>
      <c r="Q164" s="8" t="s">
        <v>43</v>
      </c>
      <c r="R164" s="10" t="s">
        <v>1170</v>
      </c>
      <c r="S164" s="11" t="s">
        <v>1171</v>
      </c>
      <c r="T164" s="6"/>
      <c r="U164" s="27" t="str">
        <f>HYPERLINK("https://media.infra-m.ru/1862/1862610/cover/1862610.jpg", "Обложка")</f>
        <v>Обложка</v>
      </c>
      <c r="V164" s="12"/>
      <c r="W164" s="8" t="s">
        <v>524</v>
      </c>
      <c r="X164" s="6"/>
      <c r="Y164" s="6"/>
      <c r="Z164" s="6"/>
      <c r="AA164" s="6" t="s">
        <v>73</v>
      </c>
    </row>
    <row r="165" spans="1:27" s="4" customFormat="1" ht="51.95" customHeight="1">
      <c r="A165" s="5">
        <v>0</v>
      </c>
      <c r="B165" s="6" t="s">
        <v>1172</v>
      </c>
      <c r="C165" s="7">
        <v>660</v>
      </c>
      <c r="D165" s="8" t="s">
        <v>1173</v>
      </c>
      <c r="E165" s="8" t="s">
        <v>1174</v>
      </c>
      <c r="F165" s="8" t="s">
        <v>1175</v>
      </c>
      <c r="G165" s="6" t="s">
        <v>52</v>
      </c>
      <c r="H165" s="6" t="s">
        <v>53</v>
      </c>
      <c r="I165" s="8" t="s">
        <v>165</v>
      </c>
      <c r="J165" s="9">
        <v>1</v>
      </c>
      <c r="K165" s="9">
        <v>145</v>
      </c>
      <c r="L165" s="9">
        <v>2021</v>
      </c>
      <c r="M165" s="8" t="s">
        <v>1176</v>
      </c>
      <c r="N165" s="8" t="s">
        <v>56</v>
      </c>
      <c r="O165" s="8" t="s">
        <v>57</v>
      </c>
      <c r="P165" s="6" t="s">
        <v>42</v>
      </c>
      <c r="Q165" s="8" t="s">
        <v>43</v>
      </c>
      <c r="R165" s="10" t="s">
        <v>1177</v>
      </c>
      <c r="S165" s="11" t="s">
        <v>1178</v>
      </c>
      <c r="T165" s="6"/>
      <c r="U165" s="27" t="str">
        <f>HYPERLINK("https://media.infra-m.ru/1946/1946477/cover/1946477.jpg", "Обложка")</f>
        <v>Обложка</v>
      </c>
      <c r="V165" s="27" t="str">
        <f>HYPERLINK("https://znanium.com/catalog/product/1904564", "Ознакомиться")</f>
        <v>Ознакомиться</v>
      </c>
      <c r="W165" s="8" t="s">
        <v>1179</v>
      </c>
      <c r="X165" s="6"/>
      <c r="Y165" s="6"/>
      <c r="Z165" s="6"/>
      <c r="AA165" s="6" t="s">
        <v>1180</v>
      </c>
    </row>
    <row r="166" spans="1:27" s="4" customFormat="1" ht="51.95" customHeight="1">
      <c r="A166" s="5">
        <v>0</v>
      </c>
      <c r="B166" s="6" t="s">
        <v>1181</v>
      </c>
      <c r="C166" s="7">
        <v>520</v>
      </c>
      <c r="D166" s="8" t="s">
        <v>1182</v>
      </c>
      <c r="E166" s="8" t="s">
        <v>1183</v>
      </c>
      <c r="F166" s="8" t="s">
        <v>1184</v>
      </c>
      <c r="G166" s="6" t="s">
        <v>52</v>
      </c>
      <c r="H166" s="6" t="s">
        <v>38</v>
      </c>
      <c r="I166" s="8"/>
      <c r="J166" s="9">
        <v>1</v>
      </c>
      <c r="K166" s="9">
        <v>137</v>
      </c>
      <c r="L166" s="9">
        <v>2020</v>
      </c>
      <c r="M166" s="8" t="s">
        <v>1185</v>
      </c>
      <c r="N166" s="8" t="s">
        <v>56</v>
      </c>
      <c r="O166" s="8" t="s">
        <v>57</v>
      </c>
      <c r="P166" s="6" t="s">
        <v>42</v>
      </c>
      <c r="Q166" s="8" t="s">
        <v>43</v>
      </c>
      <c r="R166" s="10" t="s">
        <v>1177</v>
      </c>
      <c r="S166" s="11" t="s">
        <v>1186</v>
      </c>
      <c r="T166" s="6"/>
      <c r="U166" s="27" t="str">
        <f>HYPERLINK("https://media.infra-m.ru/1245/1245075/cover/1245075.jpg", "Обложка")</f>
        <v>Обложка</v>
      </c>
      <c r="V166" s="27" t="str">
        <f>HYPERLINK("https://znanium.com/catalog/product/1904564", "Ознакомиться")</f>
        <v>Ознакомиться</v>
      </c>
      <c r="W166" s="8" t="s">
        <v>1179</v>
      </c>
      <c r="X166" s="6"/>
      <c r="Y166" s="6"/>
      <c r="Z166" s="6"/>
      <c r="AA166" s="6" t="s">
        <v>417</v>
      </c>
    </row>
    <row r="167" spans="1:27" s="4" customFormat="1" ht="42" customHeight="1">
      <c r="A167" s="5">
        <v>0</v>
      </c>
      <c r="B167" s="6" t="s">
        <v>1187</v>
      </c>
      <c r="C167" s="13">
        <v>2567</v>
      </c>
      <c r="D167" s="8" t="s">
        <v>1188</v>
      </c>
      <c r="E167" s="8" t="s">
        <v>1189</v>
      </c>
      <c r="F167" s="8" t="s">
        <v>1190</v>
      </c>
      <c r="G167" s="6" t="s">
        <v>37</v>
      </c>
      <c r="H167" s="6" t="s">
        <v>38</v>
      </c>
      <c r="I167" s="8"/>
      <c r="J167" s="9">
        <v>1</v>
      </c>
      <c r="K167" s="9">
        <v>462</v>
      </c>
      <c r="L167" s="9">
        <v>2024</v>
      </c>
      <c r="M167" s="8" t="s">
        <v>1191</v>
      </c>
      <c r="N167" s="8" t="s">
        <v>40</v>
      </c>
      <c r="O167" s="8" t="s">
        <v>41</v>
      </c>
      <c r="P167" s="6" t="s">
        <v>42</v>
      </c>
      <c r="Q167" s="8" t="s">
        <v>43</v>
      </c>
      <c r="R167" s="10" t="s">
        <v>275</v>
      </c>
      <c r="S167" s="11"/>
      <c r="T167" s="6"/>
      <c r="U167" s="27" t="str">
        <f>HYPERLINK("https://media.infra-m.ru/2102/2102176/cover/2102176.jpg", "Обложка")</f>
        <v>Обложка</v>
      </c>
      <c r="V167" s="27" t="str">
        <f>HYPERLINK("https://znanium.com/catalog/product/1032991", "Ознакомиться")</f>
        <v>Ознакомиться</v>
      </c>
      <c r="W167" s="8" t="s">
        <v>46</v>
      </c>
      <c r="X167" s="6"/>
      <c r="Y167" s="6"/>
      <c r="Z167" s="6"/>
      <c r="AA167" s="6" t="s">
        <v>62</v>
      </c>
    </row>
    <row r="168" spans="1:27" s="4" customFormat="1" ht="51.95" customHeight="1">
      <c r="A168" s="5">
        <v>0</v>
      </c>
      <c r="B168" s="6" t="s">
        <v>1192</v>
      </c>
      <c r="C168" s="13">
        <v>1010</v>
      </c>
      <c r="D168" s="8" t="s">
        <v>1193</v>
      </c>
      <c r="E168" s="8" t="s">
        <v>1194</v>
      </c>
      <c r="F168" s="8" t="s">
        <v>1195</v>
      </c>
      <c r="G168" s="6" t="s">
        <v>67</v>
      </c>
      <c r="H168" s="6" t="s">
        <v>53</v>
      </c>
      <c r="I168" s="8" t="s">
        <v>54</v>
      </c>
      <c r="J168" s="9">
        <v>1</v>
      </c>
      <c r="K168" s="9">
        <v>218</v>
      </c>
      <c r="L168" s="9">
        <v>2024</v>
      </c>
      <c r="M168" s="8" t="s">
        <v>1196</v>
      </c>
      <c r="N168" s="8" t="s">
        <v>40</v>
      </c>
      <c r="O168" s="8" t="s">
        <v>41</v>
      </c>
      <c r="P168" s="6" t="s">
        <v>42</v>
      </c>
      <c r="Q168" s="8" t="s">
        <v>43</v>
      </c>
      <c r="R168" s="10" t="s">
        <v>1197</v>
      </c>
      <c r="S168" s="11" t="s">
        <v>1198</v>
      </c>
      <c r="T168" s="6"/>
      <c r="U168" s="27" t="str">
        <f>HYPERLINK("https://media.infra-m.ru/2108/2108502/cover/2108502.jpg", "Обложка")</f>
        <v>Обложка</v>
      </c>
      <c r="V168" s="27" t="str">
        <f>HYPERLINK("https://znanium.com/catalog/product/2108502", "Ознакомиться")</f>
        <v>Ознакомиться</v>
      </c>
      <c r="W168" s="8" t="s">
        <v>1199</v>
      </c>
      <c r="X168" s="6"/>
      <c r="Y168" s="6"/>
      <c r="Z168" s="6"/>
      <c r="AA168" s="6" t="s">
        <v>62</v>
      </c>
    </row>
    <row r="169" spans="1:27" s="4" customFormat="1" ht="51.95" customHeight="1">
      <c r="A169" s="5">
        <v>0</v>
      </c>
      <c r="B169" s="6" t="s">
        <v>1200</v>
      </c>
      <c r="C169" s="13">
        <v>1054.9000000000001</v>
      </c>
      <c r="D169" s="8" t="s">
        <v>1201</v>
      </c>
      <c r="E169" s="8" t="s">
        <v>1194</v>
      </c>
      <c r="F169" s="8" t="s">
        <v>1202</v>
      </c>
      <c r="G169" s="6" t="s">
        <v>37</v>
      </c>
      <c r="H169" s="6" t="s">
        <v>53</v>
      </c>
      <c r="I169" s="8" t="s">
        <v>165</v>
      </c>
      <c r="J169" s="9">
        <v>1</v>
      </c>
      <c r="K169" s="9">
        <v>234</v>
      </c>
      <c r="L169" s="9">
        <v>2023</v>
      </c>
      <c r="M169" s="8" t="s">
        <v>1203</v>
      </c>
      <c r="N169" s="8" t="s">
        <v>40</v>
      </c>
      <c r="O169" s="8" t="s">
        <v>41</v>
      </c>
      <c r="P169" s="6" t="s">
        <v>42</v>
      </c>
      <c r="Q169" s="8" t="s">
        <v>43</v>
      </c>
      <c r="R169" s="10" t="s">
        <v>1204</v>
      </c>
      <c r="S169" s="11" t="s">
        <v>1205</v>
      </c>
      <c r="T169" s="6"/>
      <c r="U169" s="27" t="str">
        <f>HYPERLINK("https://media.infra-m.ru/1930/1930717/cover/1930717.jpg", "Обложка")</f>
        <v>Обложка</v>
      </c>
      <c r="V169" s="27" t="str">
        <f>HYPERLINK("https://znanium.com/catalog/product/1669591", "Ознакомиться")</f>
        <v>Ознакомиться</v>
      </c>
      <c r="W169" s="8" t="s">
        <v>46</v>
      </c>
      <c r="X169" s="6"/>
      <c r="Y169" s="6"/>
      <c r="Z169" s="6"/>
      <c r="AA169" s="6" t="s">
        <v>301</v>
      </c>
    </row>
    <row r="170" spans="1:27" s="4" customFormat="1" ht="51.95" customHeight="1">
      <c r="A170" s="5">
        <v>0</v>
      </c>
      <c r="B170" s="6" t="s">
        <v>1206</v>
      </c>
      <c r="C170" s="13">
        <v>1694</v>
      </c>
      <c r="D170" s="8" t="s">
        <v>1207</v>
      </c>
      <c r="E170" s="8" t="s">
        <v>1208</v>
      </c>
      <c r="F170" s="8" t="s">
        <v>1209</v>
      </c>
      <c r="G170" s="6" t="s">
        <v>67</v>
      </c>
      <c r="H170" s="6" t="s">
        <v>53</v>
      </c>
      <c r="I170" s="8" t="s">
        <v>165</v>
      </c>
      <c r="J170" s="9">
        <v>1</v>
      </c>
      <c r="K170" s="9">
        <v>369</v>
      </c>
      <c r="L170" s="9">
        <v>2024</v>
      </c>
      <c r="M170" s="8" t="s">
        <v>1210</v>
      </c>
      <c r="N170" s="8" t="s">
        <v>40</v>
      </c>
      <c r="O170" s="8" t="s">
        <v>41</v>
      </c>
      <c r="P170" s="6" t="s">
        <v>42</v>
      </c>
      <c r="Q170" s="8" t="s">
        <v>43</v>
      </c>
      <c r="R170" s="10" t="s">
        <v>1211</v>
      </c>
      <c r="S170" s="11" t="s">
        <v>1212</v>
      </c>
      <c r="T170" s="6"/>
      <c r="U170" s="27" t="str">
        <f>HYPERLINK("https://media.infra-m.ru/2078/2078408/cover/2078408.jpg", "Обложка")</f>
        <v>Обложка</v>
      </c>
      <c r="V170" s="27" t="str">
        <f>HYPERLINK("https://znanium.com/catalog/product/1085795", "Ознакомиться")</f>
        <v>Ознакомиться</v>
      </c>
      <c r="W170" s="8" t="s">
        <v>1213</v>
      </c>
      <c r="X170" s="6"/>
      <c r="Y170" s="6"/>
      <c r="Z170" s="6"/>
      <c r="AA170" s="6" t="s">
        <v>1214</v>
      </c>
    </row>
    <row r="171" spans="1:27" s="4" customFormat="1" ht="51.95" customHeight="1">
      <c r="A171" s="5">
        <v>0</v>
      </c>
      <c r="B171" s="6" t="s">
        <v>1215</v>
      </c>
      <c r="C171" s="7">
        <v>814.9</v>
      </c>
      <c r="D171" s="8" t="s">
        <v>1216</v>
      </c>
      <c r="E171" s="8" t="s">
        <v>1217</v>
      </c>
      <c r="F171" s="8" t="s">
        <v>1218</v>
      </c>
      <c r="G171" s="6" t="s">
        <v>37</v>
      </c>
      <c r="H171" s="6" t="s">
        <v>53</v>
      </c>
      <c r="I171" s="8" t="s">
        <v>165</v>
      </c>
      <c r="J171" s="9">
        <v>12</v>
      </c>
      <c r="K171" s="9">
        <v>238</v>
      </c>
      <c r="L171" s="9">
        <v>2020</v>
      </c>
      <c r="M171" s="8" t="s">
        <v>1219</v>
      </c>
      <c r="N171" s="8" t="s">
        <v>40</v>
      </c>
      <c r="O171" s="8" t="s">
        <v>41</v>
      </c>
      <c r="P171" s="6" t="s">
        <v>42</v>
      </c>
      <c r="Q171" s="8" t="s">
        <v>43</v>
      </c>
      <c r="R171" s="10" t="s">
        <v>1211</v>
      </c>
      <c r="S171" s="11" t="s">
        <v>1220</v>
      </c>
      <c r="T171" s="6" t="s">
        <v>277</v>
      </c>
      <c r="U171" s="27" t="str">
        <f>HYPERLINK("https://media.infra-m.ru/1064/1064628/cover/1064628.jpg", "Обложка")</f>
        <v>Обложка</v>
      </c>
      <c r="V171" s="27" t="str">
        <f>HYPERLINK("https://znanium.com/catalog/product/1085795", "Ознакомиться")</f>
        <v>Ознакомиться</v>
      </c>
      <c r="W171" s="8" t="s">
        <v>1213</v>
      </c>
      <c r="X171" s="6"/>
      <c r="Y171" s="6"/>
      <c r="Z171" s="6"/>
      <c r="AA171" s="6" t="s">
        <v>540</v>
      </c>
    </row>
    <row r="172" spans="1:27" s="4" customFormat="1" ht="51.95" customHeight="1">
      <c r="A172" s="5">
        <v>0</v>
      </c>
      <c r="B172" s="6" t="s">
        <v>1221</v>
      </c>
      <c r="C172" s="13">
        <v>1384</v>
      </c>
      <c r="D172" s="8" t="s">
        <v>1222</v>
      </c>
      <c r="E172" s="8" t="s">
        <v>1223</v>
      </c>
      <c r="F172" s="8" t="s">
        <v>1224</v>
      </c>
      <c r="G172" s="6" t="s">
        <v>37</v>
      </c>
      <c r="H172" s="6" t="s">
        <v>38</v>
      </c>
      <c r="I172" s="8"/>
      <c r="J172" s="9">
        <v>1</v>
      </c>
      <c r="K172" s="9">
        <v>301</v>
      </c>
      <c r="L172" s="9">
        <v>2023</v>
      </c>
      <c r="M172" s="8" t="s">
        <v>1225</v>
      </c>
      <c r="N172" s="8" t="s">
        <v>40</v>
      </c>
      <c r="O172" s="8" t="s">
        <v>41</v>
      </c>
      <c r="P172" s="6" t="s">
        <v>42</v>
      </c>
      <c r="Q172" s="8" t="s">
        <v>43</v>
      </c>
      <c r="R172" s="10" t="s">
        <v>132</v>
      </c>
      <c r="S172" s="11" t="s">
        <v>1226</v>
      </c>
      <c r="T172" s="6"/>
      <c r="U172" s="27" t="str">
        <f>HYPERLINK("https://media.infra-m.ru/1981/1981670/cover/1981670.jpg", "Обложка")</f>
        <v>Обложка</v>
      </c>
      <c r="V172" s="27" t="str">
        <f>HYPERLINK("https://znanium.com/catalog/product/1047207", "Ознакомиться")</f>
        <v>Ознакомиться</v>
      </c>
      <c r="W172" s="8" t="s">
        <v>928</v>
      </c>
      <c r="X172" s="6"/>
      <c r="Y172" s="6"/>
      <c r="Z172" s="6"/>
      <c r="AA172" s="6" t="s">
        <v>343</v>
      </c>
    </row>
    <row r="173" spans="1:27" s="4" customFormat="1" ht="51.95" customHeight="1">
      <c r="A173" s="5">
        <v>0</v>
      </c>
      <c r="B173" s="6" t="s">
        <v>1227</v>
      </c>
      <c r="C173" s="7">
        <v>974.9</v>
      </c>
      <c r="D173" s="8" t="s">
        <v>1228</v>
      </c>
      <c r="E173" s="8" t="s">
        <v>1229</v>
      </c>
      <c r="F173" s="8" t="s">
        <v>1230</v>
      </c>
      <c r="G173" s="6" t="s">
        <v>52</v>
      </c>
      <c r="H173" s="6" t="s">
        <v>385</v>
      </c>
      <c r="I173" s="8"/>
      <c r="J173" s="9">
        <v>1</v>
      </c>
      <c r="K173" s="9">
        <v>256</v>
      </c>
      <c r="L173" s="9">
        <v>2022</v>
      </c>
      <c r="M173" s="8" t="s">
        <v>1231</v>
      </c>
      <c r="N173" s="8" t="s">
        <v>40</v>
      </c>
      <c r="O173" s="8" t="s">
        <v>41</v>
      </c>
      <c r="P173" s="6" t="s">
        <v>42</v>
      </c>
      <c r="Q173" s="8" t="s">
        <v>43</v>
      </c>
      <c r="R173" s="10" t="s">
        <v>1232</v>
      </c>
      <c r="S173" s="11" t="s">
        <v>1233</v>
      </c>
      <c r="T173" s="6"/>
      <c r="U173" s="27" t="str">
        <f>HYPERLINK("https://media.infra-m.ru/1851/1851450/cover/1851450.jpg", "Обложка")</f>
        <v>Обложка</v>
      </c>
      <c r="V173" s="27" t="str">
        <f>HYPERLINK("https://znanium.com/catalog/product/1043139", "Ознакомиться")</f>
        <v>Ознакомиться</v>
      </c>
      <c r="W173" s="8" t="s">
        <v>72</v>
      </c>
      <c r="X173" s="6"/>
      <c r="Y173" s="6"/>
      <c r="Z173" s="6"/>
      <c r="AA173" s="6" t="s">
        <v>47</v>
      </c>
    </row>
    <row r="174" spans="1:27" s="4" customFormat="1" ht="42" customHeight="1">
      <c r="A174" s="5">
        <v>0</v>
      </c>
      <c r="B174" s="6" t="s">
        <v>1234</v>
      </c>
      <c r="C174" s="7">
        <v>700</v>
      </c>
      <c r="D174" s="8" t="s">
        <v>1235</v>
      </c>
      <c r="E174" s="8" t="s">
        <v>1236</v>
      </c>
      <c r="F174" s="8" t="s">
        <v>1237</v>
      </c>
      <c r="G174" s="6" t="s">
        <v>67</v>
      </c>
      <c r="H174" s="6" t="s">
        <v>239</v>
      </c>
      <c r="I174" s="8"/>
      <c r="J174" s="9">
        <v>1</v>
      </c>
      <c r="K174" s="9">
        <v>152</v>
      </c>
      <c r="L174" s="9">
        <v>2024</v>
      </c>
      <c r="M174" s="8" t="s">
        <v>1238</v>
      </c>
      <c r="N174" s="8" t="s">
        <v>56</v>
      </c>
      <c r="O174" s="8" t="s">
        <v>57</v>
      </c>
      <c r="P174" s="6" t="s">
        <v>116</v>
      </c>
      <c r="Q174" s="8" t="s">
        <v>81</v>
      </c>
      <c r="R174" s="10" t="s">
        <v>1239</v>
      </c>
      <c r="S174" s="11"/>
      <c r="T174" s="6"/>
      <c r="U174" s="27" t="str">
        <f>HYPERLINK("https://media.infra-m.ru/2095/2095043/cover/2095043.jpg", "Обложка")</f>
        <v>Обложка</v>
      </c>
      <c r="V174" s="12"/>
      <c r="W174" s="8" t="s">
        <v>46</v>
      </c>
      <c r="X174" s="6"/>
      <c r="Y174" s="6"/>
      <c r="Z174" s="6"/>
      <c r="AA174" s="6" t="s">
        <v>143</v>
      </c>
    </row>
    <row r="175" spans="1:27" s="4" customFormat="1" ht="51.95" customHeight="1">
      <c r="A175" s="5">
        <v>0</v>
      </c>
      <c r="B175" s="6" t="s">
        <v>1240</v>
      </c>
      <c r="C175" s="13">
        <v>1074</v>
      </c>
      <c r="D175" s="8" t="s">
        <v>1241</v>
      </c>
      <c r="E175" s="8" t="s">
        <v>1242</v>
      </c>
      <c r="F175" s="8" t="s">
        <v>1243</v>
      </c>
      <c r="G175" s="6" t="s">
        <v>67</v>
      </c>
      <c r="H175" s="6" t="s">
        <v>53</v>
      </c>
      <c r="I175" s="8" t="s">
        <v>165</v>
      </c>
      <c r="J175" s="9">
        <v>1</v>
      </c>
      <c r="K175" s="9">
        <v>232</v>
      </c>
      <c r="L175" s="9">
        <v>2024</v>
      </c>
      <c r="M175" s="8" t="s">
        <v>1244</v>
      </c>
      <c r="N175" s="8" t="s">
        <v>40</v>
      </c>
      <c r="O175" s="8" t="s">
        <v>41</v>
      </c>
      <c r="P175" s="6" t="s">
        <v>42</v>
      </c>
      <c r="Q175" s="8" t="s">
        <v>43</v>
      </c>
      <c r="R175" s="10" t="s">
        <v>1245</v>
      </c>
      <c r="S175" s="11" t="s">
        <v>1246</v>
      </c>
      <c r="T175" s="6"/>
      <c r="U175" s="27" t="str">
        <f>HYPERLINK("https://media.infra-m.ru/2086/2086805/cover/2086805.jpg", "Обложка")</f>
        <v>Обложка</v>
      </c>
      <c r="V175" s="27" t="str">
        <f>HYPERLINK("https://znanium.com/catalog/product/2000879", "Ознакомиться")</f>
        <v>Ознакомиться</v>
      </c>
      <c r="W175" s="8" t="s">
        <v>1247</v>
      </c>
      <c r="X175" s="6"/>
      <c r="Y175" s="6"/>
      <c r="Z175" s="6"/>
      <c r="AA175" s="6" t="s">
        <v>699</v>
      </c>
    </row>
    <row r="176" spans="1:27" s="4" customFormat="1" ht="51.95" customHeight="1">
      <c r="A176" s="5">
        <v>0</v>
      </c>
      <c r="B176" s="6" t="s">
        <v>1248</v>
      </c>
      <c r="C176" s="13">
        <v>1694</v>
      </c>
      <c r="D176" s="8" t="s">
        <v>1249</v>
      </c>
      <c r="E176" s="8" t="s">
        <v>1250</v>
      </c>
      <c r="F176" s="8" t="s">
        <v>1251</v>
      </c>
      <c r="G176" s="6" t="s">
        <v>67</v>
      </c>
      <c r="H176" s="6" t="s">
        <v>265</v>
      </c>
      <c r="I176" s="8" t="s">
        <v>165</v>
      </c>
      <c r="J176" s="9">
        <v>1</v>
      </c>
      <c r="K176" s="9">
        <v>368</v>
      </c>
      <c r="L176" s="9">
        <v>2024</v>
      </c>
      <c r="M176" s="8" t="s">
        <v>1252</v>
      </c>
      <c r="N176" s="8" t="s">
        <v>40</v>
      </c>
      <c r="O176" s="8" t="s">
        <v>41</v>
      </c>
      <c r="P176" s="6" t="s">
        <v>69</v>
      </c>
      <c r="Q176" s="8" t="s">
        <v>43</v>
      </c>
      <c r="R176" s="10" t="s">
        <v>1253</v>
      </c>
      <c r="S176" s="11" t="s">
        <v>1254</v>
      </c>
      <c r="T176" s="6"/>
      <c r="U176" s="27" t="str">
        <f>HYPERLINK("https://media.infra-m.ru/2056/2056661/cover/2056661.jpg", "Обложка")</f>
        <v>Обложка</v>
      </c>
      <c r="V176" s="27" t="str">
        <f>HYPERLINK("https://znanium.com/catalog/product/2000876", "Ознакомиться")</f>
        <v>Ознакомиться</v>
      </c>
      <c r="W176" s="8" t="s">
        <v>72</v>
      </c>
      <c r="X176" s="6"/>
      <c r="Y176" s="6"/>
      <c r="Z176" s="6"/>
      <c r="AA176" s="6" t="s">
        <v>343</v>
      </c>
    </row>
    <row r="177" spans="1:27" s="4" customFormat="1" ht="42" customHeight="1">
      <c r="A177" s="5">
        <v>0</v>
      </c>
      <c r="B177" s="6" t="s">
        <v>1255</v>
      </c>
      <c r="C177" s="7">
        <v>920</v>
      </c>
      <c r="D177" s="8" t="s">
        <v>1256</v>
      </c>
      <c r="E177" s="8" t="s">
        <v>1257</v>
      </c>
      <c r="F177" s="8" t="s">
        <v>1258</v>
      </c>
      <c r="G177" s="6" t="s">
        <v>37</v>
      </c>
      <c r="H177" s="6" t="s">
        <v>53</v>
      </c>
      <c r="I177" s="8" t="s">
        <v>114</v>
      </c>
      <c r="J177" s="9">
        <v>1</v>
      </c>
      <c r="K177" s="9">
        <v>268</v>
      </c>
      <c r="L177" s="9">
        <v>2019</v>
      </c>
      <c r="M177" s="8" t="s">
        <v>1259</v>
      </c>
      <c r="N177" s="8" t="s">
        <v>56</v>
      </c>
      <c r="O177" s="8" t="s">
        <v>57</v>
      </c>
      <c r="P177" s="6" t="s">
        <v>116</v>
      </c>
      <c r="Q177" s="8" t="s">
        <v>81</v>
      </c>
      <c r="R177" s="10" t="s">
        <v>1260</v>
      </c>
      <c r="S177" s="11"/>
      <c r="T177" s="6"/>
      <c r="U177" s="27" t="str">
        <f>HYPERLINK("https://media.infra-m.ru/1002/1002821/cover/1002821.jpg", "Обложка")</f>
        <v>Обложка</v>
      </c>
      <c r="V177" s="27" t="str">
        <f>HYPERLINK("https://znanium.com/catalog/product/1002821", "Ознакомиться")</f>
        <v>Ознакомиться</v>
      </c>
      <c r="W177" s="8" t="s">
        <v>1155</v>
      </c>
      <c r="X177" s="6"/>
      <c r="Y177" s="6"/>
      <c r="Z177" s="6"/>
      <c r="AA177" s="6" t="s">
        <v>510</v>
      </c>
    </row>
    <row r="178" spans="1:27" s="4" customFormat="1" ht="51.95" customHeight="1">
      <c r="A178" s="5">
        <v>0</v>
      </c>
      <c r="B178" s="6" t="s">
        <v>1261</v>
      </c>
      <c r="C178" s="13">
        <v>1150</v>
      </c>
      <c r="D178" s="8" t="s">
        <v>1262</v>
      </c>
      <c r="E178" s="8" t="s">
        <v>1263</v>
      </c>
      <c r="F178" s="8" t="s">
        <v>1264</v>
      </c>
      <c r="G178" s="6" t="s">
        <v>52</v>
      </c>
      <c r="H178" s="6" t="s">
        <v>98</v>
      </c>
      <c r="I178" s="8" t="s">
        <v>704</v>
      </c>
      <c r="J178" s="9">
        <v>1</v>
      </c>
      <c r="K178" s="9">
        <v>248</v>
      </c>
      <c r="L178" s="9">
        <v>2023</v>
      </c>
      <c r="M178" s="8" t="s">
        <v>1265</v>
      </c>
      <c r="N178" s="8" t="s">
        <v>56</v>
      </c>
      <c r="O178" s="8" t="s">
        <v>57</v>
      </c>
      <c r="P178" s="6" t="s">
        <v>42</v>
      </c>
      <c r="Q178" s="8" t="s">
        <v>785</v>
      </c>
      <c r="R178" s="10" t="s">
        <v>1266</v>
      </c>
      <c r="S178" s="11"/>
      <c r="T178" s="6"/>
      <c r="U178" s="27" t="str">
        <f>HYPERLINK("https://media.infra-m.ru/1971/1971831/cover/1971831.jpg", "Обложка")</f>
        <v>Обложка</v>
      </c>
      <c r="V178" s="27" t="str">
        <f>HYPERLINK("https://znanium.com/catalog/product/1971831", "Ознакомиться")</f>
        <v>Ознакомиться</v>
      </c>
      <c r="W178" s="8" t="s">
        <v>118</v>
      </c>
      <c r="X178" s="6"/>
      <c r="Y178" s="6"/>
      <c r="Z178" s="6"/>
      <c r="AA178" s="6" t="s">
        <v>365</v>
      </c>
    </row>
    <row r="179" spans="1:27" s="4" customFormat="1" ht="44.1" customHeight="1">
      <c r="A179" s="5">
        <v>0</v>
      </c>
      <c r="B179" s="6" t="s">
        <v>1267</v>
      </c>
      <c r="C179" s="7">
        <v>760</v>
      </c>
      <c r="D179" s="8" t="s">
        <v>1268</v>
      </c>
      <c r="E179" s="8" t="s">
        <v>1269</v>
      </c>
      <c r="F179" s="8" t="s">
        <v>1270</v>
      </c>
      <c r="G179" s="6" t="s">
        <v>52</v>
      </c>
      <c r="H179" s="6" t="s">
        <v>53</v>
      </c>
      <c r="I179" s="8" t="s">
        <v>114</v>
      </c>
      <c r="J179" s="9">
        <v>1</v>
      </c>
      <c r="K179" s="9">
        <v>200</v>
      </c>
      <c r="L179" s="9">
        <v>2022</v>
      </c>
      <c r="M179" s="8" t="s">
        <v>1271</v>
      </c>
      <c r="N179" s="8" t="s">
        <v>56</v>
      </c>
      <c r="O179" s="8" t="s">
        <v>57</v>
      </c>
      <c r="P179" s="6" t="s">
        <v>116</v>
      </c>
      <c r="Q179" s="8" t="s">
        <v>81</v>
      </c>
      <c r="R179" s="10" t="s">
        <v>285</v>
      </c>
      <c r="S179" s="11"/>
      <c r="T179" s="6"/>
      <c r="U179" s="27" t="str">
        <f>HYPERLINK("https://media.infra-m.ru/1735/1735164/cover/1735164.jpg", "Обложка")</f>
        <v>Обложка</v>
      </c>
      <c r="V179" s="27" t="str">
        <f>HYPERLINK("https://znanium.com/catalog/product/1735164", "Ознакомиться")</f>
        <v>Ознакомиться</v>
      </c>
      <c r="W179" s="8" t="s">
        <v>91</v>
      </c>
      <c r="X179" s="6"/>
      <c r="Y179" s="6"/>
      <c r="Z179" s="6"/>
      <c r="AA179" s="6" t="s">
        <v>540</v>
      </c>
    </row>
    <row r="180" spans="1:27" s="4" customFormat="1" ht="51.95" customHeight="1">
      <c r="A180" s="5">
        <v>0</v>
      </c>
      <c r="B180" s="6" t="s">
        <v>1272</v>
      </c>
      <c r="C180" s="13">
        <v>1094</v>
      </c>
      <c r="D180" s="8" t="s">
        <v>1273</v>
      </c>
      <c r="E180" s="8" t="s">
        <v>1274</v>
      </c>
      <c r="F180" s="8" t="s">
        <v>1275</v>
      </c>
      <c r="G180" s="6" t="s">
        <v>37</v>
      </c>
      <c r="H180" s="6" t="s">
        <v>98</v>
      </c>
      <c r="I180" s="8" t="s">
        <v>165</v>
      </c>
      <c r="J180" s="9">
        <v>1</v>
      </c>
      <c r="K180" s="9">
        <v>238</v>
      </c>
      <c r="L180" s="9">
        <v>2024</v>
      </c>
      <c r="M180" s="8" t="s">
        <v>1276</v>
      </c>
      <c r="N180" s="8" t="s">
        <v>56</v>
      </c>
      <c r="O180" s="8" t="s">
        <v>57</v>
      </c>
      <c r="P180" s="6" t="s">
        <v>42</v>
      </c>
      <c r="Q180" s="8" t="s">
        <v>43</v>
      </c>
      <c r="R180" s="10" t="s">
        <v>1277</v>
      </c>
      <c r="S180" s="11" t="s">
        <v>1278</v>
      </c>
      <c r="T180" s="6"/>
      <c r="U180" s="27" t="str">
        <f>HYPERLINK("https://media.infra-m.ru/1851/1851534/cover/1851534.jpg", "Обложка")</f>
        <v>Обложка</v>
      </c>
      <c r="V180" s="27" t="str">
        <f>HYPERLINK("https://znanium.com/catalog/product/1102075", "Ознакомиться")</f>
        <v>Ознакомиться</v>
      </c>
      <c r="W180" s="8" t="s">
        <v>948</v>
      </c>
      <c r="X180" s="6"/>
      <c r="Y180" s="6"/>
      <c r="Z180" s="6"/>
      <c r="AA180" s="6" t="s">
        <v>795</v>
      </c>
    </row>
    <row r="181" spans="1:27" s="4" customFormat="1" ht="51.95" customHeight="1">
      <c r="A181" s="5">
        <v>0</v>
      </c>
      <c r="B181" s="6" t="s">
        <v>1279</v>
      </c>
      <c r="C181" s="7">
        <v>850</v>
      </c>
      <c r="D181" s="8" t="s">
        <v>1280</v>
      </c>
      <c r="E181" s="8" t="s">
        <v>1281</v>
      </c>
      <c r="F181" s="8" t="s">
        <v>1282</v>
      </c>
      <c r="G181" s="6" t="s">
        <v>37</v>
      </c>
      <c r="H181" s="6" t="s">
        <v>385</v>
      </c>
      <c r="I181" s="8"/>
      <c r="J181" s="9">
        <v>1</v>
      </c>
      <c r="K181" s="9">
        <v>256</v>
      </c>
      <c r="L181" s="9">
        <v>2019</v>
      </c>
      <c r="M181" s="8" t="s">
        <v>1283</v>
      </c>
      <c r="N181" s="8" t="s">
        <v>56</v>
      </c>
      <c r="O181" s="8" t="s">
        <v>57</v>
      </c>
      <c r="P181" s="6" t="s">
        <v>42</v>
      </c>
      <c r="Q181" s="8" t="s">
        <v>150</v>
      </c>
      <c r="R181" s="10" t="s">
        <v>1284</v>
      </c>
      <c r="S181" s="11" t="s">
        <v>1285</v>
      </c>
      <c r="T181" s="6"/>
      <c r="U181" s="27" t="str">
        <f>HYPERLINK("https://media.infra-m.ru/1000/1000614/cover/1000614.jpg", "Обложка")</f>
        <v>Обложка</v>
      </c>
      <c r="V181" s="27" t="str">
        <f>HYPERLINK("https://znanium.com/catalog/product/450948", "Ознакомиться")</f>
        <v>Ознакомиться</v>
      </c>
      <c r="W181" s="8" t="s">
        <v>1286</v>
      </c>
      <c r="X181" s="6"/>
      <c r="Y181" s="6"/>
      <c r="Z181" s="6"/>
      <c r="AA181" s="6" t="s">
        <v>208</v>
      </c>
    </row>
    <row r="182" spans="1:27" s="4" customFormat="1" ht="51.95" customHeight="1">
      <c r="A182" s="5">
        <v>0</v>
      </c>
      <c r="B182" s="6" t="s">
        <v>1287</v>
      </c>
      <c r="C182" s="7">
        <v>980</v>
      </c>
      <c r="D182" s="8" t="s">
        <v>1288</v>
      </c>
      <c r="E182" s="8" t="s">
        <v>1289</v>
      </c>
      <c r="F182" s="8" t="s">
        <v>1290</v>
      </c>
      <c r="G182" s="6" t="s">
        <v>67</v>
      </c>
      <c r="H182" s="6" t="s">
        <v>53</v>
      </c>
      <c r="I182" s="8" t="s">
        <v>1291</v>
      </c>
      <c r="J182" s="9">
        <v>1</v>
      </c>
      <c r="K182" s="9">
        <v>218</v>
      </c>
      <c r="L182" s="9">
        <v>2023</v>
      </c>
      <c r="M182" s="8" t="s">
        <v>1292</v>
      </c>
      <c r="N182" s="8" t="s">
        <v>56</v>
      </c>
      <c r="O182" s="8" t="s">
        <v>57</v>
      </c>
      <c r="P182" s="6" t="s">
        <v>42</v>
      </c>
      <c r="Q182" s="8" t="s">
        <v>43</v>
      </c>
      <c r="R182" s="10" t="s">
        <v>1293</v>
      </c>
      <c r="S182" s="11" t="s">
        <v>1294</v>
      </c>
      <c r="T182" s="6"/>
      <c r="U182" s="27" t="str">
        <f>HYPERLINK("https://media.infra-m.ru/1959/1959265/cover/1959265.jpg", "Обложка")</f>
        <v>Обложка</v>
      </c>
      <c r="V182" s="27" t="str">
        <f>HYPERLINK("https://znanium.com/catalog/product/1959265", "Ознакомиться")</f>
        <v>Ознакомиться</v>
      </c>
      <c r="W182" s="8" t="s">
        <v>1295</v>
      </c>
      <c r="X182" s="6"/>
      <c r="Y182" s="6"/>
      <c r="Z182" s="6"/>
      <c r="AA182" s="6" t="s">
        <v>601</v>
      </c>
    </row>
    <row r="183" spans="1:27" s="4" customFormat="1" ht="42" customHeight="1">
      <c r="A183" s="5">
        <v>0</v>
      </c>
      <c r="B183" s="6" t="s">
        <v>1296</v>
      </c>
      <c r="C183" s="13">
        <v>1490</v>
      </c>
      <c r="D183" s="8" t="s">
        <v>1297</v>
      </c>
      <c r="E183" s="8" t="s">
        <v>1298</v>
      </c>
      <c r="F183" s="8" t="s">
        <v>1299</v>
      </c>
      <c r="G183" s="6" t="s">
        <v>37</v>
      </c>
      <c r="H183" s="6" t="s">
        <v>53</v>
      </c>
      <c r="I183" s="8" t="s">
        <v>54</v>
      </c>
      <c r="J183" s="9">
        <v>1</v>
      </c>
      <c r="K183" s="9">
        <v>322</v>
      </c>
      <c r="L183" s="9">
        <v>2023</v>
      </c>
      <c r="M183" s="8" t="s">
        <v>1300</v>
      </c>
      <c r="N183" s="8" t="s">
        <v>56</v>
      </c>
      <c r="O183" s="8" t="s">
        <v>57</v>
      </c>
      <c r="P183" s="6" t="s">
        <v>69</v>
      </c>
      <c r="Q183" s="8" t="s">
        <v>43</v>
      </c>
      <c r="R183" s="10" t="s">
        <v>1301</v>
      </c>
      <c r="S183" s="11"/>
      <c r="T183" s="6"/>
      <c r="U183" s="27" t="str">
        <f>HYPERLINK("https://media.infra-m.ru/1819/1819251/cover/1819251.jpg", "Обложка")</f>
        <v>Обложка</v>
      </c>
      <c r="V183" s="27" t="str">
        <f>HYPERLINK("https://znanium.com/catalog/product/1819251", "Ознакомиться")</f>
        <v>Ознакомиться</v>
      </c>
      <c r="W183" s="8"/>
      <c r="X183" s="6" t="s">
        <v>727</v>
      </c>
      <c r="Y183" s="6"/>
      <c r="Z183" s="6"/>
      <c r="AA183" s="6" t="s">
        <v>93</v>
      </c>
    </row>
    <row r="184" spans="1:27" s="4" customFormat="1" ht="21.95" customHeight="1">
      <c r="A184" s="5">
        <v>0</v>
      </c>
      <c r="B184" s="6" t="s">
        <v>1302</v>
      </c>
      <c r="C184" s="7">
        <v>154.9</v>
      </c>
      <c r="D184" s="8" t="s">
        <v>1303</v>
      </c>
      <c r="E184" s="8" t="s">
        <v>1298</v>
      </c>
      <c r="F184" s="8" t="s">
        <v>1304</v>
      </c>
      <c r="G184" s="6" t="s">
        <v>26</v>
      </c>
      <c r="H184" s="6" t="s">
        <v>98</v>
      </c>
      <c r="I184" s="8"/>
      <c r="J184" s="9">
        <v>1</v>
      </c>
      <c r="K184" s="9">
        <v>125</v>
      </c>
      <c r="L184" s="9">
        <v>2016</v>
      </c>
      <c r="M184" s="8" t="s">
        <v>1305</v>
      </c>
      <c r="N184" s="8" t="s">
        <v>56</v>
      </c>
      <c r="O184" s="8" t="s">
        <v>57</v>
      </c>
      <c r="P184" s="6" t="s">
        <v>42</v>
      </c>
      <c r="Q184" s="8" t="s">
        <v>43</v>
      </c>
      <c r="R184" s="10" t="s">
        <v>530</v>
      </c>
      <c r="S184" s="11"/>
      <c r="T184" s="6"/>
      <c r="U184" s="12"/>
      <c r="V184" s="12"/>
      <c r="W184" s="8"/>
      <c r="X184" s="6"/>
      <c r="Y184" s="6"/>
      <c r="Z184" s="6"/>
      <c r="AA184" s="6" t="s">
        <v>1306</v>
      </c>
    </row>
    <row r="185" spans="1:27" s="4" customFormat="1" ht="51.95" customHeight="1">
      <c r="A185" s="5">
        <v>0</v>
      </c>
      <c r="B185" s="6" t="s">
        <v>1307</v>
      </c>
      <c r="C185" s="13">
        <v>1464</v>
      </c>
      <c r="D185" s="8" t="s">
        <v>1308</v>
      </c>
      <c r="E185" s="8" t="s">
        <v>1309</v>
      </c>
      <c r="F185" s="8" t="s">
        <v>1310</v>
      </c>
      <c r="G185" s="6" t="s">
        <v>37</v>
      </c>
      <c r="H185" s="6" t="s">
        <v>53</v>
      </c>
      <c r="I185" s="8" t="s">
        <v>148</v>
      </c>
      <c r="J185" s="9">
        <v>1</v>
      </c>
      <c r="K185" s="9">
        <v>323</v>
      </c>
      <c r="L185" s="9">
        <v>2023</v>
      </c>
      <c r="M185" s="8" t="s">
        <v>1311</v>
      </c>
      <c r="N185" s="8" t="s">
        <v>56</v>
      </c>
      <c r="O185" s="8" t="s">
        <v>57</v>
      </c>
      <c r="P185" s="6" t="s">
        <v>69</v>
      </c>
      <c r="Q185" s="8" t="s">
        <v>150</v>
      </c>
      <c r="R185" s="10" t="s">
        <v>530</v>
      </c>
      <c r="S185" s="11" t="s">
        <v>1312</v>
      </c>
      <c r="T185" s="6"/>
      <c r="U185" s="27" t="str">
        <f>HYPERLINK("https://media.infra-m.ru/2023/2023203/cover/2023203.jpg", "Обложка")</f>
        <v>Обложка</v>
      </c>
      <c r="V185" s="27" t="str">
        <f>HYPERLINK("https://znanium.com/catalog/product/1069783", "Ознакомиться")</f>
        <v>Ознакомиться</v>
      </c>
      <c r="W185" s="8" t="s">
        <v>118</v>
      </c>
      <c r="X185" s="6"/>
      <c r="Y185" s="6"/>
      <c r="Z185" s="6"/>
      <c r="AA185" s="6" t="s">
        <v>510</v>
      </c>
    </row>
    <row r="186" spans="1:27" s="4" customFormat="1" ht="51.95" customHeight="1">
      <c r="A186" s="5">
        <v>0</v>
      </c>
      <c r="B186" s="6" t="s">
        <v>1313</v>
      </c>
      <c r="C186" s="13">
        <v>1090</v>
      </c>
      <c r="D186" s="8" t="s">
        <v>1314</v>
      </c>
      <c r="E186" s="8" t="s">
        <v>1315</v>
      </c>
      <c r="F186" s="8" t="s">
        <v>1316</v>
      </c>
      <c r="G186" s="6" t="s">
        <v>67</v>
      </c>
      <c r="H186" s="6" t="s">
        <v>53</v>
      </c>
      <c r="I186" s="8" t="s">
        <v>165</v>
      </c>
      <c r="J186" s="9">
        <v>1</v>
      </c>
      <c r="K186" s="9">
        <v>240</v>
      </c>
      <c r="L186" s="9">
        <v>2023</v>
      </c>
      <c r="M186" s="8" t="s">
        <v>1317</v>
      </c>
      <c r="N186" s="8" t="s">
        <v>56</v>
      </c>
      <c r="O186" s="8" t="s">
        <v>57</v>
      </c>
      <c r="P186" s="6" t="s">
        <v>42</v>
      </c>
      <c r="Q186" s="8" t="s">
        <v>43</v>
      </c>
      <c r="R186" s="10" t="s">
        <v>1318</v>
      </c>
      <c r="S186" s="11" t="s">
        <v>1319</v>
      </c>
      <c r="T186" s="6"/>
      <c r="U186" s="27" t="str">
        <f>HYPERLINK("https://media.infra-m.ru/1939/1939102/cover/1939102.jpg", "Обложка")</f>
        <v>Обложка</v>
      </c>
      <c r="V186" s="27" t="str">
        <f>HYPERLINK("https://znanium.com/catalog/product/1939102", "Ознакомиться")</f>
        <v>Ознакомиться</v>
      </c>
      <c r="W186" s="8" t="s">
        <v>134</v>
      </c>
      <c r="X186" s="6"/>
      <c r="Y186" s="6"/>
      <c r="Z186" s="6"/>
      <c r="AA186" s="6" t="s">
        <v>540</v>
      </c>
    </row>
    <row r="187" spans="1:27" s="4" customFormat="1" ht="51.95" customHeight="1">
      <c r="A187" s="5">
        <v>0</v>
      </c>
      <c r="B187" s="6" t="s">
        <v>1320</v>
      </c>
      <c r="C187" s="7">
        <v>360</v>
      </c>
      <c r="D187" s="8" t="s">
        <v>1321</v>
      </c>
      <c r="E187" s="8" t="s">
        <v>1322</v>
      </c>
      <c r="F187" s="8" t="s">
        <v>1323</v>
      </c>
      <c r="G187" s="6" t="s">
        <v>52</v>
      </c>
      <c r="H187" s="6" t="s">
        <v>98</v>
      </c>
      <c r="I187" s="8" t="s">
        <v>165</v>
      </c>
      <c r="J187" s="9">
        <v>1</v>
      </c>
      <c r="K187" s="9">
        <v>100</v>
      </c>
      <c r="L187" s="9">
        <v>2021</v>
      </c>
      <c r="M187" s="8" t="s">
        <v>1324</v>
      </c>
      <c r="N187" s="8" t="s">
        <v>56</v>
      </c>
      <c r="O187" s="8" t="s">
        <v>57</v>
      </c>
      <c r="P187" s="6" t="s">
        <v>42</v>
      </c>
      <c r="Q187" s="8" t="s">
        <v>43</v>
      </c>
      <c r="R187" s="10" t="s">
        <v>1325</v>
      </c>
      <c r="S187" s="11" t="s">
        <v>1326</v>
      </c>
      <c r="T187" s="6" t="s">
        <v>277</v>
      </c>
      <c r="U187" s="27" t="str">
        <f>HYPERLINK("https://media.infra-m.ru/1218/1218436/cover/1218436.jpg", "Обложка")</f>
        <v>Обложка</v>
      </c>
      <c r="V187" s="27" t="str">
        <f>HYPERLINK("https://znanium.com/catalog/product/1218436", "Ознакомиться")</f>
        <v>Ознакомиться</v>
      </c>
      <c r="W187" s="8" t="s">
        <v>1327</v>
      </c>
      <c r="X187" s="6"/>
      <c r="Y187" s="6"/>
      <c r="Z187" s="6"/>
      <c r="AA187" s="6" t="s">
        <v>288</v>
      </c>
    </row>
    <row r="188" spans="1:27" s="4" customFormat="1" ht="51.95" customHeight="1">
      <c r="A188" s="5">
        <v>0</v>
      </c>
      <c r="B188" s="6" t="s">
        <v>1328</v>
      </c>
      <c r="C188" s="13">
        <v>2500</v>
      </c>
      <c r="D188" s="8" t="s">
        <v>1329</v>
      </c>
      <c r="E188" s="8" t="s">
        <v>1330</v>
      </c>
      <c r="F188" s="8" t="s">
        <v>1331</v>
      </c>
      <c r="G188" s="6" t="s">
        <v>37</v>
      </c>
      <c r="H188" s="6" t="s">
        <v>53</v>
      </c>
      <c r="I188" s="8" t="s">
        <v>54</v>
      </c>
      <c r="J188" s="9">
        <v>1</v>
      </c>
      <c r="K188" s="9">
        <v>559</v>
      </c>
      <c r="L188" s="9">
        <v>2023</v>
      </c>
      <c r="M188" s="8" t="s">
        <v>1332</v>
      </c>
      <c r="N188" s="8" t="s">
        <v>56</v>
      </c>
      <c r="O188" s="8" t="s">
        <v>57</v>
      </c>
      <c r="P188" s="6" t="s">
        <v>42</v>
      </c>
      <c r="Q188" s="8" t="s">
        <v>43</v>
      </c>
      <c r="R188" s="10" t="s">
        <v>1333</v>
      </c>
      <c r="S188" s="11" t="s">
        <v>1334</v>
      </c>
      <c r="T188" s="6" t="s">
        <v>277</v>
      </c>
      <c r="U188" s="27" t="str">
        <f>HYPERLINK("https://media.infra-m.ru/2039/2039129/cover/2039129.jpg", "Обложка")</f>
        <v>Обложка</v>
      </c>
      <c r="V188" s="27" t="str">
        <f>HYPERLINK("https://znanium.com/catalog/product/2039129", "Ознакомиться")</f>
        <v>Ознакомиться</v>
      </c>
      <c r="W188" s="8" t="s">
        <v>72</v>
      </c>
      <c r="X188" s="6"/>
      <c r="Y188" s="6"/>
      <c r="Z188" s="6"/>
      <c r="AA188" s="6" t="s">
        <v>1335</v>
      </c>
    </row>
    <row r="189" spans="1:27" s="4" customFormat="1" ht="51.95" customHeight="1">
      <c r="A189" s="5">
        <v>0</v>
      </c>
      <c r="B189" s="6" t="s">
        <v>1336</v>
      </c>
      <c r="C189" s="7">
        <v>990</v>
      </c>
      <c r="D189" s="8" t="s">
        <v>1337</v>
      </c>
      <c r="E189" s="8" t="s">
        <v>1338</v>
      </c>
      <c r="F189" s="8" t="s">
        <v>1339</v>
      </c>
      <c r="G189" s="6" t="s">
        <v>37</v>
      </c>
      <c r="H189" s="6" t="s">
        <v>53</v>
      </c>
      <c r="I189" s="8" t="s">
        <v>54</v>
      </c>
      <c r="J189" s="9">
        <v>1</v>
      </c>
      <c r="K189" s="9">
        <v>210</v>
      </c>
      <c r="L189" s="9">
        <v>2023</v>
      </c>
      <c r="M189" s="8" t="s">
        <v>1340</v>
      </c>
      <c r="N189" s="8" t="s">
        <v>56</v>
      </c>
      <c r="O189" s="8" t="s">
        <v>57</v>
      </c>
      <c r="P189" s="6" t="s">
        <v>42</v>
      </c>
      <c r="Q189" s="8" t="s">
        <v>43</v>
      </c>
      <c r="R189" s="10" t="s">
        <v>1341</v>
      </c>
      <c r="S189" s="11"/>
      <c r="T189" s="6"/>
      <c r="U189" s="27" t="str">
        <f>HYPERLINK("https://media.infra-m.ru/1907/1907618/cover/1907618.jpg", "Обложка")</f>
        <v>Обложка</v>
      </c>
      <c r="V189" s="27" t="str">
        <f>HYPERLINK("https://znanium.com/catalog/product/1907618", "Ознакомиться")</f>
        <v>Ознакомиться</v>
      </c>
      <c r="W189" s="8" t="s">
        <v>1342</v>
      </c>
      <c r="X189" s="6" t="s">
        <v>1343</v>
      </c>
      <c r="Y189" s="6"/>
      <c r="Z189" s="6"/>
      <c r="AA189" s="6" t="s">
        <v>93</v>
      </c>
    </row>
    <row r="190" spans="1:27" s="4" customFormat="1" ht="42" customHeight="1">
      <c r="A190" s="5">
        <v>0</v>
      </c>
      <c r="B190" s="6" t="s">
        <v>1344</v>
      </c>
      <c r="C190" s="7">
        <v>760</v>
      </c>
      <c r="D190" s="8" t="s">
        <v>1345</v>
      </c>
      <c r="E190" s="8" t="s">
        <v>1346</v>
      </c>
      <c r="F190" s="8" t="s">
        <v>1347</v>
      </c>
      <c r="G190" s="6" t="s">
        <v>52</v>
      </c>
      <c r="H190" s="6" t="s">
        <v>53</v>
      </c>
      <c r="I190" s="8" t="s">
        <v>114</v>
      </c>
      <c r="J190" s="9">
        <v>1</v>
      </c>
      <c r="K190" s="9">
        <v>167</v>
      </c>
      <c r="L190" s="9">
        <v>2021</v>
      </c>
      <c r="M190" s="8" t="s">
        <v>1348</v>
      </c>
      <c r="N190" s="8" t="s">
        <v>56</v>
      </c>
      <c r="O190" s="8" t="s">
        <v>57</v>
      </c>
      <c r="P190" s="6" t="s">
        <v>116</v>
      </c>
      <c r="Q190" s="8" t="s">
        <v>81</v>
      </c>
      <c r="R190" s="10" t="s">
        <v>1349</v>
      </c>
      <c r="S190" s="11"/>
      <c r="T190" s="6"/>
      <c r="U190" s="27" t="str">
        <f>HYPERLINK("https://media.infra-m.ru/1216/1216917/cover/1216917.jpg", "Обложка")</f>
        <v>Обложка</v>
      </c>
      <c r="V190" s="27" t="str">
        <f>HYPERLINK("https://znanium.com/catalog/product/1216917", "Ознакомиться")</f>
        <v>Ознакомиться</v>
      </c>
      <c r="W190" s="8" t="s">
        <v>1350</v>
      </c>
      <c r="X190" s="6"/>
      <c r="Y190" s="6"/>
      <c r="Z190" s="6"/>
      <c r="AA190" s="6" t="s">
        <v>253</v>
      </c>
    </row>
    <row r="191" spans="1:27" s="4" customFormat="1" ht="51.95" customHeight="1">
      <c r="A191" s="5">
        <v>0</v>
      </c>
      <c r="B191" s="6" t="s">
        <v>1351</v>
      </c>
      <c r="C191" s="7">
        <v>634</v>
      </c>
      <c r="D191" s="8" t="s">
        <v>1352</v>
      </c>
      <c r="E191" s="8" t="s">
        <v>1353</v>
      </c>
      <c r="F191" s="8" t="s">
        <v>1354</v>
      </c>
      <c r="G191" s="6" t="s">
        <v>67</v>
      </c>
      <c r="H191" s="6" t="s">
        <v>53</v>
      </c>
      <c r="I191" s="8" t="s">
        <v>165</v>
      </c>
      <c r="J191" s="9">
        <v>1</v>
      </c>
      <c r="K191" s="9">
        <v>137</v>
      </c>
      <c r="L191" s="9">
        <v>2022</v>
      </c>
      <c r="M191" s="8" t="s">
        <v>1355</v>
      </c>
      <c r="N191" s="8" t="s">
        <v>56</v>
      </c>
      <c r="O191" s="8" t="s">
        <v>57</v>
      </c>
      <c r="P191" s="6" t="s">
        <v>42</v>
      </c>
      <c r="Q191" s="8" t="s">
        <v>43</v>
      </c>
      <c r="R191" s="10" t="s">
        <v>1356</v>
      </c>
      <c r="S191" s="11" t="s">
        <v>1357</v>
      </c>
      <c r="T191" s="6"/>
      <c r="U191" s="27" t="str">
        <f>HYPERLINK("https://media.infra-m.ru/2110/2110061/cover/2110061.jpg", "Обложка")</f>
        <v>Обложка</v>
      </c>
      <c r="V191" s="27" t="str">
        <f>HYPERLINK("https://znanium.com/catalog/product/1864094", "Ознакомиться")</f>
        <v>Ознакомиться</v>
      </c>
      <c r="W191" s="8" t="s">
        <v>134</v>
      </c>
      <c r="X191" s="6"/>
      <c r="Y191" s="6"/>
      <c r="Z191" s="6"/>
      <c r="AA191" s="6" t="s">
        <v>601</v>
      </c>
    </row>
    <row r="192" spans="1:27" s="4" customFormat="1" ht="51.95" customHeight="1">
      <c r="A192" s="5">
        <v>0</v>
      </c>
      <c r="B192" s="6" t="s">
        <v>1358</v>
      </c>
      <c r="C192" s="13">
        <v>1644</v>
      </c>
      <c r="D192" s="8" t="s">
        <v>1359</v>
      </c>
      <c r="E192" s="8" t="s">
        <v>1360</v>
      </c>
      <c r="F192" s="8" t="s">
        <v>1361</v>
      </c>
      <c r="G192" s="6" t="s">
        <v>67</v>
      </c>
      <c r="H192" s="6" t="s">
        <v>53</v>
      </c>
      <c r="I192" s="8" t="s">
        <v>148</v>
      </c>
      <c r="J192" s="9">
        <v>1</v>
      </c>
      <c r="K192" s="9">
        <v>358</v>
      </c>
      <c r="L192" s="9">
        <v>2023</v>
      </c>
      <c r="M192" s="8" t="s">
        <v>1362</v>
      </c>
      <c r="N192" s="8" t="s">
        <v>56</v>
      </c>
      <c r="O192" s="8" t="s">
        <v>57</v>
      </c>
      <c r="P192" s="6" t="s">
        <v>69</v>
      </c>
      <c r="Q192" s="8" t="s">
        <v>150</v>
      </c>
      <c r="R192" s="10" t="s">
        <v>159</v>
      </c>
      <c r="S192" s="11" t="s">
        <v>1363</v>
      </c>
      <c r="T192" s="6"/>
      <c r="U192" s="27" t="str">
        <f>HYPERLINK("https://media.infra-m.ru/2110/2110486/cover/2110486.jpg", "Обложка")</f>
        <v>Обложка</v>
      </c>
      <c r="V192" s="27" t="str">
        <f>HYPERLINK("https://znanium.com/catalog/product/1906705", "Ознакомиться")</f>
        <v>Ознакомиться</v>
      </c>
      <c r="W192" s="8" t="s">
        <v>1364</v>
      </c>
      <c r="X192" s="6"/>
      <c r="Y192" s="6"/>
      <c r="Z192" s="6"/>
      <c r="AA192" s="6" t="s">
        <v>73</v>
      </c>
    </row>
    <row r="193" spans="1:27" s="4" customFormat="1" ht="51.95" customHeight="1">
      <c r="A193" s="5">
        <v>0</v>
      </c>
      <c r="B193" s="6" t="s">
        <v>1365</v>
      </c>
      <c r="C193" s="7">
        <v>930</v>
      </c>
      <c r="D193" s="8" t="s">
        <v>1366</v>
      </c>
      <c r="E193" s="8" t="s">
        <v>1367</v>
      </c>
      <c r="F193" s="8" t="s">
        <v>790</v>
      </c>
      <c r="G193" s="6" t="s">
        <v>37</v>
      </c>
      <c r="H193" s="6" t="s">
        <v>53</v>
      </c>
      <c r="I193" s="8" t="s">
        <v>760</v>
      </c>
      <c r="J193" s="9">
        <v>1</v>
      </c>
      <c r="K193" s="9">
        <v>318</v>
      </c>
      <c r="L193" s="9">
        <v>2018</v>
      </c>
      <c r="M193" s="8" t="s">
        <v>1368</v>
      </c>
      <c r="N193" s="8" t="s">
        <v>56</v>
      </c>
      <c r="O193" s="8" t="s">
        <v>57</v>
      </c>
      <c r="P193" s="6" t="s">
        <v>80</v>
      </c>
      <c r="Q193" s="8" t="s">
        <v>763</v>
      </c>
      <c r="R193" s="10" t="s">
        <v>1369</v>
      </c>
      <c r="S193" s="11" t="s">
        <v>1370</v>
      </c>
      <c r="T193" s="6"/>
      <c r="U193" s="27" t="str">
        <f>HYPERLINK("https://media.infra-m.ru/0927/0927452/cover/927452.jpg", "Обложка")</f>
        <v>Обложка</v>
      </c>
      <c r="V193" s="27" t="str">
        <f>HYPERLINK("https://znanium.com/catalog/product/1913246", "Ознакомиться")</f>
        <v>Ознакомиться</v>
      </c>
      <c r="W193" s="8" t="s">
        <v>287</v>
      </c>
      <c r="X193" s="6"/>
      <c r="Y193" s="6"/>
      <c r="Z193" s="6"/>
      <c r="AA193" s="6" t="s">
        <v>1371</v>
      </c>
    </row>
    <row r="194" spans="1:27" s="4" customFormat="1" ht="51.95" customHeight="1">
      <c r="A194" s="5">
        <v>0</v>
      </c>
      <c r="B194" s="6" t="s">
        <v>1372</v>
      </c>
      <c r="C194" s="13">
        <v>1084</v>
      </c>
      <c r="D194" s="8" t="s">
        <v>1373</v>
      </c>
      <c r="E194" s="8" t="s">
        <v>1374</v>
      </c>
      <c r="F194" s="8" t="s">
        <v>1375</v>
      </c>
      <c r="G194" s="6" t="s">
        <v>37</v>
      </c>
      <c r="H194" s="6" t="s">
        <v>53</v>
      </c>
      <c r="I194" s="8" t="s">
        <v>165</v>
      </c>
      <c r="J194" s="9">
        <v>1</v>
      </c>
      <c r="K194" s="9">
        <v>237</v>
      </c>
      <c r="L194" s="9">
        <v>2023</v>
      </c>
      <c r="M194" s="8" t="s">
        <v>1376</v>
      </c>
      <c r="N194" s="8" t="s">
        <v>56</v>
      </c>
      <c r="O194" s="8" t="s">
        <v>57</v>
      </c>
      <c r="P194" s="6" t="s">
        <v>42</v>
      </c>
      <c r="Q194" s="8" t="s">
        <v>43</v>
      </c>
      <c r="R194" s="10" t="s">
        <v>1377</v>
      </c>
      <c r="S194" s="11"/>
      <c r="T194" s="6"/>
      <c r="U194" s="27" t="str">
        <f>HYPERLINK("https://media.infra-m.ru/1971/1971835/cover/1971835.jpg", "Обложка")</f>
        <v>Обложка</v>
      </c>
      <c r="V194" s="27" t="str">
        <f>HYPERLINK("https://znanium.com/catalog/product/1948213", "Ознакомиться")</f>
        <v>Ознакомиться</v>
      </c>
      <c r="W194" s="8" t="s">
        <v>287</v>
      </c>
      <c r="X194" s="6"/>
      <c r="Y194" s="6"/>
      <c r="Z194" s="6"/>
      <c r="AA194" s="6" t="s">
        <v>365</v>
      </c>
    </row>
    <row r="195" spans="1:27" s="4" customFormat="1" ht="51.95" customHeight="1">
      <c r="A195" s="5">
        <v>0</v>
      </c>
      <c r="B195" s="6" t="s">
        <v>1378</v>
      </c>
      <c r="C195" s="7">
        <v>950</v>
      </c>
      <c r="D195" s="8" t="s">
        <v>1379</v>
      </c>
      <c r="E195" s="8" t="s">
        <v>1380</v>
      </c>
      <c r="F195" s="8" t="s">
        <v>1381</v>
      </c>
      <c r="G195" s="6" t="s">
        <v>37</v>
      </c>
      <c r="H195" s="6" t="s">
        <v>53</v>
      </c>
      <c r="I195" s="8" t="s">
        <v>165</v>
      </c>
      <c r="J195" s="9">
        <v>1</v>
      </c>
      <c r="K195" s="9">
        <v>196</v>
      </c>
      <c r="L195" s="9">
        <v>2023</v>
      </c>
      <c r="M195" s="8" t="s">
        <v>1382</v>
      </c>
      <c r="N195" s="8" t="s">
        <v>56</v>
      </c>
      <c r="O195" s="8" t="s">
        <v>57</v>
      </c>
      <c r="P195" s="6" t="s">
        <v>42</v>
      </c>
      <c r="Q195" s="8" t="s">
        <v>43</v>
      </c>
      <c r="R195" s="10" t="s">
        <v>1377</v>
      </c>
      <c r="S195" s="11" t="s">
        <v>1383</v>
      </c>
      <c r="T195" s="6"/>
      <c r="U195" s="27" t="str">
        <f>HYPERLINK("https://media.infra-m.ru/1898/1898406/cover/1898406.jpg", "Обложка")</f>
        <v>Обложка</v>
      </c>
      <c r="V195" s="27" t="str">
        <f>HYPERLINK("https://znanium.com/catalog/product/1948213", "Ознакомиться")</f>
        <v>Ознакомиться</v>
      </c>
      <c r="W195" s="8" t="s">
        <v>287</v>
      </c>
      <c r="X195" s="6" t="s">
        <v>1384</v>
      </c>
      <c r="Y195" s="6"/>
      <c r="Z195" s="6"/>
      <c r="AA195" s="6" t="s">
        <v>1385</v>
      </c>
    </row>
    <row r="196" spans="1:27" s="4" customFormat="1" ht="51.95" customHeight="1">
      <c r="A196" s="5">
        <v>0</v>
      </c>
      <c r="B196" s="6" t="s">
        <v>1386</v>
      </c>
      <c r="C196" s="7">
        <v>934.9</v>
      </c>
      <c r="D196" s="8" t="s">
        <v>1387</v>
      </c>
      <c r="E196" s="8" t="s">
        <v>1388</v>
      </c>
      <c r="F196" s="8" t="s">
        <v>1389</v>
      </c>
      <c r="G196" s="6" t="s">
        <v>52</v>
      </c>
      <c r="H196" s="6" t="s">
        <v>597</v>
      </c>
      <c r="I196" s="8"/>
      <c r="J196" s="9">
        <v>1</v>
      </c>
      <c r="K196" s="9">
        <v>208</v>
      </c>
      <c r="L196" s="9">
        <v>2023</v>
      </c>
      <c r="M196" s="8" t="s">
        <v>1390</v>
      </c>
      <c r="N196" s="8" t="s">
        <v>56</v>
      </c>
      <c r="O196" s="8" t="s">
        <v>57</v>
      </c>
      <c r="P196" s="6" t="s">
        <v>42</v>
      </c>
      <c r="Q196" s="8" t="s">
        <v>43</v>
      </c>
      <c r="R196" s="10" t="s">
        <v>1391</v>
      </c>
      <c r="S196" s="11" t="s">
        <v>1392</v>
      </c>
      <c r="T196" s="6"/>
      <c r="U196" s="27" t="str">
        <f>HYPERLINK("https://media.infra-m.ru/1876/1876495/cover/1876495.jpg", "Обложка")</f>
        <v>Обложка</v>
      </c>
      <c r="V196" s="27" t="str">
        <f>HYPERLINK("https://znanium.com/catalog/product/1015905", "Ознакомиться")</f>
        <v>Ознакомиться</v>
      </c>
      <c r="W196" s="8" t="s">
        <v>72</v>
      </c>
      <c r="X196" s="6"/>
      <c r="Y196" s="6"/>
      <c r="Z196" s="6"/>
      <c r="AA196" s="6" t="s">
        <v>208</v>
      </c>
    </row>
    <row r="197" spans="1:27" s="4" customFormat="1" ht="51.95" customHeight="1">
      <c r="A197" s="5">
        <v>0</v>
      </c>
      <c r="B197" s="6" t="s">
        <v>1393</v>
      </c>
      <c r="C197" s="13">
        <v>1184.9000000000001</v>
      </c>
      <c r="D197" s="8" t="s">
        <v>1394</v>
      </c>
      <c r="E197" s="8" t="s">
        <v>1395</v>
      </c>
      <c r="F197" s="8" t="s">
        <v>1396</v>
      </c>
      <c r="G197" s="6" t="s">
        <v>37</v>
      </c>
      <c r="H197" s="6" t="s">
        <v>53</v>
      </c>
      <c r="I197" s="8" t="s">
        <v>165</v>
      </c>
      <c r="J197" s="9">
        <v>14</v>
      </c>
      <c r="K197" s="9">
        <v>440</v>
      </c>
      <c r="L197" s="9">
        <v>2017</v>
      </c>
      <c r="M197" s="8" t="s">
        <v>1397</v>
      </c>
      <c r="N197" s="8" t="s">
        <v>56</v>
      </c>
      <c r="O197" s="8" t="s">
        <v>57</v>
      </c>
      <c r="P197" s="6" t="s">
        <v>69</v>
      </c>
      <c r="Q197" s="8" t="s">
        <v>43</v>
      </c>
      <c r="R197" s="10" t="s">
        <v>1398</v>
      </c>
      <c r="S197" s="11" t="s">
        <v>1399</v>
      </c>
      <c r="T197" s="6"/>
      <c r="U197" s="27" t="str">
        <f>HYPERLINK("https://media.infra-m.ru/0519/0519242/cover/519242.jpg", "Обложка")</f>
        <v>Обложка</v>
      </c>
      <c r="V197" s="27" t="str">
        <f>HYPERLINK("https://znanium.com/catalog/product/429148", "Ознакомиться")</f>
        <v>Ознакомиться</v>
      </c>
      <c r="W197" s="8" t="s">
        <v>1400</v>
      </c>
      <c r="X197" s="6"/>
      <c r="Y197" s="6"/>
      <c r="Z197" s="6"/>
      <c r="AA197" s="6" t="s">
        <v>463</v>
      </c>
    </row>
    <row r="198" spans="1:27" s="4" customFormat="1" ht="51.95" customHeight="1">
      <c r="A198" s="5">
        <v>0</v>
      </c>
      <c r="B198" s="6" t="s">
        <v>1401</v>
      </c>
      <c r="C198" s="13">
        <v>1194</v>
      </c>
      <c r="D198" s="8" t="s">
        <v>1402</v>
      </c>
      <c r="E198" s="8" t="s">
        <v>1403</v>
      </c>
      <c r="F198" s="8" t="s">
        <v>1404</v>
      </c>
      <c r="G198" s="6" t="s">
        <v>67</v>
      </c>
      <c r="H198" s="6" t="s">
        <v>53</v>
      </c>
      <c r="I198" s="8" t="s">
        <v>165</v>
      </c>
      <c r="J198" s="9">
        <v>1</v>
      </c>
      <c r="K198" s="9">
        <v>259</v>
      </c>
      <c r="L198" s="9">
        <v>2024</v>
      </c>
      <c r="M198" s="8" t="s">
        <v>1405</v>
      </c>
      <c r="N198" s="8" t="s">
        <v>56</v>
      </c>
      <c r="O198" s="8" t="s">
        <v>57</v>
      </c>
      <c r="P198" s="6" t="s">
        <v>42</v>
      </c>
      <c r="Q198" s="8" t="s">
        <v>43</v>
      </c>
      <c r="R198" s="10" t="s">
        <v>1406</v>
      </c>
      <c r="S198" s="11" t="s">
        <v>1407</v>
      </c>
      <c r="T198" s="6"/>
      <c r="U198" s="27" t="str">
        <f>HYPERLINK("https://media.infra-m.ru/2102/2102172/cover/2102172.jpg", "Обложка")</f>
        <v>Обложка</v>
      </c>
      <c r="V198" s="27" t="str">
        <f>HYPERLINK("https://znanium.com/catalog/product/1861575", "Ознакомиться")</f>
        <v>Ознакомиться</v>
      </c>
      <c r="W198" s="8" t="s">
        <v>46</v>
      </c>
      <c r="X198" s="6"/>
      <c r="Y198" s="6"/>
      <c r="Z198" s="6"/>
      <c r="AA198" s="6" t="s">
        <v>1214</v>
      </c>
    </row>
    <row r="199" spans="1:27" s="4" customFormat="1" ht="51.95" customHeight="1">
      <c r="A199" s="5">
        <v>0</v>
      </c>
      <c r="B199" s="6" t="s">
        <v>1408</v>
      </c>
      <c r="C199" s="7">
        <v>860</v>
      </c>
      <c r="D199" s="8" t="s">
        <v>1409</v>
      </c>
      <c r="E199" s="8" t="s">
        <v>1410</v>
      </c>
      <c r="F199" s="8" t="s">
        <v>1404</v>
      </c>
      <c r="G199" s="6" t="s">
        <v>67</v>
      </c>
      <c r="H199" s="6" t="s">
        <v>38</v>
      </c>
      <c r="I199" s="8"/>
      <c r="J199" s="9">
        <v>1</v>
      </c>
      <c r="K199" s="9">
        <v>253</v>
      </c>
      <c r="L199" s="9">
        <v>2020</v>
      </c>
      <c r="M199" s="8" t="s">
        <v>1411</v>
      </c>
      <c r="N199" s="8" t="s">
        <v>56</v>
      </c>
      <c r="O199" s="8" t="s">
        <v>57</v>
      </c>
      <c r="P199" s="6" t="s">
        <v>42</v>
      </c>
      <c r="Q199" s="8" t="s">
        <v>43</v>
      </c>
      <c r="R199" s="10" t="s">
        <v>1406</v>
      </c>
      <c r="S199" s="11" t="s">
        <v>1412</v>
      </c>
      <c r="T199" s="6"/>
      <c r="U199" s="27" t="str">
        <f>HYPERLINK("https://media.infra-m.ru/1039/1039158/cover/1039158.jpg", "Обложка")</f>
        <v>Обложка</v>
      </c>
      <c r="V199" s="27" t="str">
        <f>HYPERLINK("https://znanium.com/catalog/product/1861575", "Ознакомиться")</f>
        <v>Ознакомиться</v>
      </c>
      <c r="W199" s="8" t="s">
        <v>46</v>
      </c>
      <c r="X199" s="6"/>
      <c r="Y199" s="6"/>
      <c r="Z199" s="6"/>
      <c r="AA199" s="6" t="s">
        <v>47</v>
      </c>
    </row>
    <row r="200" spans="1:27" s="4" customFormat="1" ht="51.95" customHeight="1">
      <c r="A200" s="5">
        <v>0</v>
      </c>
      <c r="B200" s="6" t="s">
        <v>1413</v>
      </c>
      <c r="C200" s="13">
        <v>1180</v>
      </c>
      <c r="D200" s="8" t="s">
        <v>1414</v>
      </c>
      <c r="E200" s="8" t="s">
        <v>1403</v>
      </c>
      <c r="F200" s="8" t="s">
        <v>1404</v>
      </c>
      <c r="G200" s="6" t="s">
        <v>67</v>
      </c>
      <c r="H200" s="6" t="s">
        <v>53</v>
      </c>
      <c r="I200" s="8" t="s">
        <v>652</v>
      </c>
      <c r="J200" s="9">
        <v>1</v>
      </c>
      <c r="K200" s="9">
        <v>259</v>
      </c>
      <c r="L200" s="9">
        <v>2023</v>
      </c>
      <c r="M200" s="8" t="s">
        <v>1415</v>
      </c>
      <c r="N200" s="8" t="s">
        <v>56</v>
      </c>
      <c r="O200" s="8" t="s">
        <v>57</v>
      </c>
      <c r="P200" s="6" t="s">
        <v>42</v>
      </c>
      <c r="Q200" s="8" t="s">
        <v>654</v>
      </c>
      <c r="R200" s="10" t="s">
        <v>1416</v>
      </c>
      <c r="S200" s="11" t="s">
        <v>1417</v>
      </c>
      <c r="T200" s="6"/>
      <c r="U200" s="27" t="str">
        <f>HYPERLINK("https://media.infra-m.ru/2015/2015306/cover/2015306.jpg", "Обложка")</f>
        <v>Обложка</v>
      </c>
      <c r="V200" s="27" t="str">
        <f>HYPERLINK("https://znanium.com/catalog/product/2015306", "Ознакомиться")</f>
        <v>Ознакомиться</v>
      </c>
      <c r="W200" s="8" t="s">
        <v>46</v>
      </c>
      <c r="X200" s="6"/>
      <c r="Y200" s="6"/>
      <c r="Z200" s="6" t="s">
        <v>657</v>
      </c>
      <c r="AA200" s="6" t="s">
        <v>425</v>
      </c>
    </row>
    <row r="201" spans="1:27" s="4" customFormat="1" ht="44.1" customHeight="1">
      <c r="A201" s="5">
        <v>0</v>
      </c>
      <c r="B201" s="6" t="s">
        <v>1418</v>
      </c>
      <c r="C201" s="7">
        <v>294.89999999999998</v>
      </c>
      <c r="D201" s="8" t="s">
        <v>1419</v>
      </c>
      <c r="E201" s="8" t="s">
        <v>1420</v>
      </c>
      <c r="F201" s="8" t="s">
        <v>1421</v>
      </c>
      <c r="G201" s="6" t="s">
        <v>52</v>
      </c>
      <c r="H201" s="6" t="s">
        <v>239</v>
      </c>
      <c r="I201" s="8"/>
      <c r="J201" s="9">
        <v>1</v>
      </c>
      <c r="K201" s="9">
        <v>96</v>
      </c>
      <c r="L201" s="9">
        <v>2017</v>
      </c>
      <c r="M201" s="8" t="s">
        <v>1422</v>
      </c>
      <c r="N201" s="8" t="s">
        <v>56</v>
      </c>
      <c r="O201" s="8" t="s">
        <v>57</v>
      </c>
      <c r="P201" s="6" t="s">
        <v>116</v>
      </c>
      <c r="Q201" s="8" t="s">
        <v>81</v>
      </c>
      <c r="R201" s="10" t="s">
        <v>1423</v>
      </c>
      <c r="S201" s="11"/>
      <c r="T201" s="6"/>
      <c r="U201" s="27" t="str">
        <f>HYPERLINK("https://media.infra-m.ru/0883/0883138/cover/883138.jpg", "Обложка")</f>
        <v>Обложка</v>
      </c>
      <c r="V201" s="27" t="str">
        <f>HYPERLINK("https://znanium.com/catalog/product/262373", "Ознакомиться")</f>
        <v>Ознакомиться</v>
      </c>
      <c r="W201" s="8" t="s">
        <v>46</v>
      </c>
      <c r="X201" s="6"/>
      <c r="Y201" s="6"/>
      <c r="Z201" s="6"/>
      <c r="AA201" s="6" t="s">
        <v>62</v>
      </c>
    </row>
    <row r="202" spans="1:27" s="4" customFormat="1" ht="51.95" customHeight="1">
      <c r="A202" s="5">
        <v>0</v>
      </c>
      <c r="B202" s="6" t="s">
        <v>1424</v>
      </c>
      <c r="C202" s="7">
        <v>870</v>
      </c>
      <c r="D202" s="8" t="s">
        <v>1425</v>
      </c>
      <c r="E202" s="8" t="s">
        <v>1426</v>
      </c>
      <c r="F202" s="8" t="s">
        <v>1427</v>
      </c>
      <c r="G202" s="6" t="s">
        <v>52</v>
      </c>
      <c r="H202" s="6" t="s">
        <v>38</v>
      </c>
      <c r="I202" s="8"/>
      <c r="J202" s="9">
        <v>1</v>
      </c>
      <c r="K202" s="9">
        <v>176</v>
      </c>
      <c r="L202" s="9">
        <v>2024</v>
      </c>
      <c r="M202" s="8" t="s">
        <v>1428</v>
      </c>
      <c r="N202" s="8" t="s">
        <v>56</v>
      </c>
      <c r="O202" s="8" t="s">
        <v>57</v>
      </c>
      <c r="P202" s="6" t="s">
        <v>42</v>
      </c>
      <c r="Q202" s="8" t="s">
        <v>150</v>
      </c>
      <c r="R202" s="10" t="s">
        <v>1429</v>
      </c>
      <c r="S202" s="11"/>
      <c r="T202" s="6"/>
      <c r="U202" s="27" t="str">
        <f>HYPERLINK("https://media.infra-m.ru/2087/2087270/cover/2087270.jpg", "Обложка")</f>
        <v>Обложка</v>
      </c>
      <c r="V202" s="27" t="str">
        <f>HYPERLINK("https://znanium.com/catalog/product/2087270", "Ознакомиться")</f>
        <v>Ознакомиться</v>
      </c>
      <c r="W202" s="8" t="s">
        <v>1430</v>
      </c>
      <c r="X202" s="6"/>
      <c r="Y202" s="6"/>
      <c r="Z202" s="6"/>
      <c r="AA202" s="6" t="s">
        <v>253</v>
      </c>
    </row>
    <row r="203" spans="1:27" s="4" customFormat="1" ht="51.95" customHeight="1">
      <c r="A203" s="5">
        <v>0</v>
      </c>
      <c r="B203" s="6" t="s">
        <v>1431</v>
      </c>
      <c r="C203" s="7">
        <v>550</v>
      </c>
      <c r="D203" s="8" t="s">
        <v>1432</v>
      </c>
      <c r="E203" s="8" t="s">
        <v>1433</v>
      </c>
      <c r="F203" s="8" t="s">
        <v>1361</v>
      </c>
      <c r="G203" s="6" t="s">
        <v>52</v>
      </c>
      <c r="H203" s="6" t="s">
        <v>53</v>
      </c>
      <c r="I203" s="8" t="s">
        <v>54</v>
      </c>
      <c r="J203" s="9">
        <v>1</v>
      </c>
      <c r="K203" s="9">
        <v>116</v>
      </c>
      <c r="L203" s="9">
        <v>2024</v>
      </c>
      <c r="M203" s="8" t="s">
        <v>1434</v>
      </c>
      <c r="N203" s="8" t="s">
        <v>56</v>
      </c>
      <c r="O203" s="8" t="s">
        <v>57</v>
      </c>
      <c r="P203" s="6" t="s">
        <v>42</v>
      </c>
      <c r="Q203" s="8" t="s">
        <v>58</v>
      </c>
      <c r="R203" s="10" t="s">
        <v>1435</v>
      </c>
      <c r="S203" s="11" t="s">
        <v>1436</v>
      </c>
      <c r="T203" s="6"/>
      <c r="U203" s="27" t="str">
        <f>HYPERLINK("https://media.infra-m.ru/2048/2048141/cover/2048141.jpg", "Обложка")</f>
        <v>Обложка</v>
      </c>
      <c r="V203" s="27" t="str">
        <f>HYPERLINK("https://znanium.com/catalog/product/2048141", "Ознакомиться")</f>
        <v>Ознакомиться</v>
      </c>
      <c r="W203" s="8" t="s">
        <v>1364</v>
      </c>
      <c r="X203" s="6"/>
      <c r="Y203" s="6"/>
      <c r="Z203" s="6"/>
      <c r="AA203" s="6" t="s">
        <v>1335</v>
      </c>
    </row>
    <row r="204" spans="1:27" s="4" customFormat="1" ht="51.95" customHeight="1">
      <c r="A204" s="5">
        <v>0</v>
      </c>
      <c r="B204" s="6" t="s">
        <v>1437</v>
      </c>
      <c r="C204" s="13">
        <v>1660</v>
      </c>
      <c r="D204" s="8" t="s">
        <v>1438</v>
      </c>
      <c r="E204" s="8" t="s">
        <v>1439</v>
      </c>
      <c r="F204" s="8" t="s">
        <v>1361</v>
      </c>
      <c r="G204" s="6" t="s">
        <v>67</v>
      </c>
      <c r="H204" s="6" t="s">
        <v>53</v>
      </c>
      <c r="I204" s="8" t="s">
        <v>165</v>
      </c>
      <c r="J204" s="9">
        <v>1</v>
      </c>
      <c r="K204" s="9">
        <v>368</v>
      </c>
      <c r="L204" s="9">
        <v>2023</v>
      </c>
      <c r="M204" s="8" t="s">
        <v>1440</v>
      </c>
      <c r="N204" s="8" t="s">
        <v>56</v>
      </c>
      <c r="O204" s="8" t="s">
        <v>57</v>
      </c>
      <c r="P204" s="6" t="s">
        <v>69</v>
      </c>
      <c r="Q204" s="8" t="s">
        <v>43</v>
      </c>
      <c r="R204" s="10" t="s">
        <v>1441</v>
      </c>
      <c r="S204" s="11" t="s">
        <v>1442</v>
      </c>
      <c r="T204" s="6"/>
      <c r="U204" s="27" t="str">
        <f>HYPERLINK("https://media.infra-m.ru/1959/1959266/cover/1959266.jpg", "Обложка")</f>
        <v>Обложка</v>
      </c>
      <c r="V204" s="27" t="str">
        <f>HYPERLINK("https://znanium.com/catalog/product/1959266", "Ознакомиться")</f>
        <v>Ознакомиться</v>
      </c>
      <c r="W204" s="8" t="s">
        <v>1364</v>
      </c>
      <c r="X204" s="6"/>
      <c r="Y204" s="6"/>
      <c r="Z204" s="6"/>
      <c r="AA204" s="6" t="s">
        <v>601</v>
      </c>
    </row>
    <row r="205" spans="1:27" s="4" customFormat="1" ht="51.95" customHeight="1">
      <c r="A205" s="5">
        <v>0</v>
      </c>
      <c r="B205" s="6" t="s">
        <v>1443</v>
      </c>
      <c r="C205" s="7">
        <v>220</v>
      </c>
      <c r="D205" s="8" t="s">
        <v>1444</v>
      </c>
      <c r="E205" s="8" t="s">
        <v>1445</v>
      </c>
      <c r="F205" s="8" t="s">
        <v>1361</v>
      </c>
      <c r="G205" s="6" t="s">
        <v>52</v>
      </c>
      <c r="H205" s="6" t="s">
        <v>53</v>
      </c>
      <c r="I205" s="8" t="s">
        <v>165</v>
      </c>
      <c r="J205" s="9">
        <v>1</v>
      </c>
      <c r="K205" s="9">
        <v>73</v>
      </c>
      <c r="L205" s="9">
        <v>2017</v>
      </c>
      <c r="M205" s="8" t="s">
        <v>1446</v>
      </c>
      <c r="N205" s="8" t="s">
        <v>56</v>
      </c>
      <c r="O205" s="8" t="s">
        <v>57</v>
      </c>
      <c r="P205" s="6" t="s">
        <v>42</v>
      </c>
      <c r="Q205" s="8" t="s">
        <v>43</v>
      </c>
      <c r="R205" s="10" t="s">
        <v>1435</v>
      </c>
      <c r="S205" s="11" t="s">
        <v>1447</v>
      </c>
      <c r="T205" s="6"/>
      <c r="U205" s="27" t="str">
        <f>HYPERLINK("https://media.infra-m.ru/0752/0752507/cover/752507.jpg", "Обложка")</f>
        <v>Обложка</v>
      </c>
      <c r="V205" s="27" t="str">
        <f>HYPERLINK("https://znanium.com/catalog/product/2048141", "Ознакомиться")</f>
        <v>Ознакомиться</v>
      </c>
      <c r="W205" s="8" t="s">
        <v>1364</v>
      </c>
      <c r="X205" s="6"/>
      <c r="Y205" s="6"/>
      <c r="Z205" s="6"/>
      <c r="AA205" s="6" t="s">
        <v>253</v>
      </c>
    </row>
    <row r="206" spans="1:27" s="4" customFormat="1" ht="51.95" customHeight="1">
      <c r="A206" s="5">
        <v>0</v>
      </c>
      <c r="B206" s="6" t="s">
        <v>1448</v>
      </c>
      <c r="C206" s="13">
        <v>1200</v>
      </c>
      <c r="D206" s="8" t="s">
        <v>1449</v>
      </c>
      <c r="E206" s="8" t="s">
        <v>1450</v>
      </c>
      <c r="F206" s="8" t="s">
        <v>1451</v>
      </c>
      <c r="G206" s="6" t="s">
        <v>67</v>
      </c>
      <c r="H206" s="6" t="s">
        <v>38</v>
      </c>
      <c r="I206" s="8"/>
      <c r="J206" s="9">
        <v>1</v>
      </c>
      <c r="K206" s="9">
        <v>288</v>
      </c>
      <c r="L206" s="9">
        <v>2018</v>
      </c>
      <c r="M206" s="8" t="s">
        <v>1452</v>
      </c>
      <c r="N206" s="8" t="s">
        <v>56</v>
      </c>
      <c r="O206" s="8" t="s">
        <v>57</v>
      </c>
      <c r="P206" s="6" t="s">
        <v>80</v>
      </c>
      <c r="Q206" s="8" t="s">
        <v>81</v>
      </c>
      <c r="R206" s="10" t="s">
        <v>1453</v>
      </c>
      <c r="S206" s="11"/>
      <c r="T206" s="6"/>
      <c r="U206" s="27" t="str">
        <f>HYPERLINK("https://media.infra-m.ru/0971/0971676/cover/971676.jpg", "Обложка")</f>
        <v>Обложка</v>
      </c>
      <c r="V206" s="27" t="str">
        <f>HYPERLINK("https://znanium.com/catalog/product/2002633", "Ознакомиться")</f>
        <v>Ознакомиться</v>
      </c>
      <c r="W206" s="8" t="s">
        <v>307</v>
      </c>
      <c r="X206" s="6"/>
      <c r="Y206" s="6"/>
      <c r="Z206" s="6"/>
      <c r="AA206" s="6" t="s">
        <v>186</v>
      </c>
    </row>
    <row r="207" spans="1:27" s="4" customFormat="1" ht="51.95" customHeight="1">
      <c r="A207" s="5">
        <v>0</v>
      </c>
      <c r="B207" s="6" t="s">
        <v>1454</v>
      </c>
      <c r="C207" s="13">
        <v>1692</v>
      </c>
      <c r="D207" s="8" t="s">
        <v>1455</v>
      </c>
      <c r="E207" s="8" t="s">
        <v>1456</v>
      </c>
      <c r="F207" s="8" t="s">
        <v>1451</v>
      </c>
      <c r="G207" s="6" t="s">
        <v>1457</v>
      </c>
      <c r="H207" s="6" t="s">
        <v>53</v>
      </c>
      <c r="I207" s="8" t="s">
        <v>54</v>
      </c>
      <c r="J207" s="9">
        <v>1</v>
      </c>
      <c r="K207" s="9">
        <v>285</v>
      </c>
      <c r="L207" s="9">
        <v>2023</v>
      </c>
      <c r="M207" s="8" t="s">
        <v>1458</v>
      </c>
      <c r="N207" s="8" t="s">
        <v>56</v>
      </c>
      <c r="O207" s="8" t="s">
        <v>57</v>
      </c>
      <c r="P207" s="6" t="s">
        <v>1459</v>
      </c>
      <c r="Q207" s="8" t="s">
        <v>43</v>
      </c>
      <c r="R207" s="10" t="s">
        <v>1453</v>
      </c>
      <c r="S207" s="11"/>
      <c r="T207" s="6"/>
      <c r="U207" s="27" t="str">
        <f>HYPERLINK("https://media.infra-m.ru/2002/2002633/cover/2002633.jpg", "Обложка")</f>
        <v>Обложка</v>
      </c>
      <c r="V207" s="27" t="str">
        <f>HYPERLINK("https://znanium.com/catalog/product/2002633", "Ознакомиться")</f>
        <v>Ознакомиться</v>
      </c>
      <c r="W207" s="8" t="s">
        <v>307</v>
      </c>
      <c r="X207" s="6"/>
      <c r="Y207" s="6"/>
      <c r="Z207" s="6"/>
      <c r="AA207" s="6" t="s">
        <v>854</v>
      </c>
    </row>
    <row r="208" spans="1:27" s="4" customFormat="1" ht="51.95" customHeight="1">
      <c r="A208" s="5">
        <v>0</v>
      </c>
      <c r="B208" s="6" t="s">
        <v>1460</v>
      </c>
      <c r="C208" s="7">
        <v>790</v>
      </c>
      <c r="D208" s="8" t="s">
        <v>1461</v>
      </c>
      <c r="E208" s="8" t="s">
        <v>1462</v>
      </c>
      <c r="F208" s="8" t="s">
        <v>1451</v>
      </c>
      <c r="G208" s="6" t="s">
        <v>1457</v>
      </c>
      <c r="H208" s="6" t="s">
        <v>38</v>
      </c>
      <c r="I208" s="8"/>
      <c r="J208" s="9">
        <v>20</v>
      </c>
      <c r="K208" s="9">
        <v>288</v>
      </c>
      <c r="L208" s="9">
        <v>2017</v>
      </c>
      <c r="M208" s="8" t="s">
        <v>1463</v>
      </c>
      <c r="N208" s="8" t="s">
        <v>56</v>
      </c>
      <c r="O208" s="8" t="s">
        <v>57</v>
      </c>
      <c r="P208" s="6" t="s">
        <v>80</v>
      </c>
      <c r="Q208" s="8" t="s">
        <v>150</v>
      </c>
      <c r="R208" s="10" t="s">
        <v>1453</v>
      </c>
      <c r="S208" s="11"/>
      <c r="T208" s="6"/>
      <c r="U208" s="27" t="str">
        <f>HYPERLINK("https://media.infra-m.ru/0907/0907527/cover/907527.jpg", "Обложка")</f>
        <v>Обложка</v>
      </c>
      <c r="V208" s="27" t="str">
        <f>HYPERLINK("https://znanium.com/catalog/product/2002633", "Ознакомиться")</f>
        <v>Ознакомиться</v>
      </c>
      <c r="W208" s="8" t="s">
        <v>307</v>
      </c>
      <c r="X208" s="6"/>
      <c r="Y208" s="6"/>
      <c r="Z208" s="6"/>
      <c r="AA208" s="6" t="s">
        <v>1335</v>
      </c>
    </row>
    <row r="209" spans="1:27" s="4" customFormat="1" ht="51.95" customHeight="1">
      <c r="A209" s="5">
        <v>0</v>
      </c>
      <c r="B209" s="6" t="s">
        <v>1464</v>
      </c>
      <c r="C209" s="13">
        <v>1310</v>
      </c>
      <c r="D209" s="8" t="s">
        <v>1465</v>
      </c>
      <c r="E209" s="8" t="s">
        <v>1466</v>
      </c>
      <c r="F209" s="8" t="s">
        <v>1451</v>
      </c>
      <c r="G209" s="6" t="s">
        <v>1457</v>
      </c>
      <c r="H209" s="6" t="s">
        <v>53</v>
      </c>
      <c r="I209" s="8"/>
      <c r="J209" s="9">
        <v>1</v>
      </c>
      <c r="K209" s="9">
        <v>288</v>
      </c>
      <c r="L209" s="9">
        <v>2020</v>
      </c>
      <c r="M209" s="8" t="s">
        <v>1467</v>
      </c>
      <c r="N209" s="8" t="s">
        <v>56</v>
      </c>
      <c r="O209" s="8" t="s">
        <v>57</v>
      </c>
      <c r="P209" s="6" t="s">
        <v>1459</v>
      </c>
      <c r="Q209" s="8" t="s">
        <v>43</v>
      </c>
      <c r="R209" s="10" t="s">
        <v>1453</v>
      </c>
      <c r="S209" s="11"/>
      <c r="T209" s="6"/>
      <c r="U209" s="27" t="str">
        <f>HYPERLINK("https://media.infra-m.ru/1045/1045671/cover/1045671.jpg", "Обложка")</f>
        <v>Обложка</v>
      </c>
      <c r="V209" s="27" t="str">
        <f>HYPERLINK("https://znanium.com/catalog/product/2002633", "Ознакомиться")</f>
        <v>Ознакомиться</v>
      </c>
      <c r="W209" s="8" t="s">
        <v>307</v>
      </c>
      <c r="X209" s="6"/>
      <c r="Y209" s="6"/>
      <c r="Z209" s="6"/>
      <c r="AA209" s="6" t="s">
        <v>1468</v>
      </c>
    </row>
    <row r="210" spans="1:27" s="4" customFormat="1" ht="42" customHeight="1">
      <c r="A210" s="5">
        <v>0</v>
      </c>
      <c r="B210" s="6" t="s">
        <v>1469</v>
      </c>
      <c r="C210" s="13">
        <v>1300</v>
      </c>
      <c r="D210" s="8" t="s">
        <v>1470</v>
      </c>
      <c r="E210" s="8" t="s">
        <v>1471</v>
      </c>
      <c r="F210" s="8" t="s">
        <v>1472</v>
      </c>
      <c r="G210" s="6" t="s">
        <v>37</v>
      </c>
      <c r="H210" s="6" t="s">
        <v>53</v>
      </c>
      <c r="I210" s="8" t="s">
        <v>148</v>
      </c>
      <c r="J210" s="9">
        <v>1</v>
      </c>
      <c r="K210" s="9">
        <v>280</v>
      </c>
      <c r="L210" s="9">
        <v>2023</v>
      </c>
      <c r="M210" s="8" t="s">
        <v>1473</v>
      </c>
      <c r="N210" s="8" t="s">
        <v>40</v>
      </c>
      <c r="O210" s="8" t="s">
        <v>41</v>
      </c>
      <c r="P210" s="6" t="s">
        <v>69</v>
      </c>
      <c r="Q210" s="8" t="s">
        <v>150</v>
      </c>
      <c r="R210" s="10" t="s">
        <v>1474</v>
      </c>
      <c r="S210" s="11"/>
      <c r="T210" s="6"/>
      <c r="U210" s="27" t="str">
        <f>HYPERLINK("https://media.infra-m.ru/1860/1860651/cover/1860651.jpg", "Обложка")</f>
        <v>Обложка</v>
      </c>
      <c r="V210" s="27" t="str">
        <f>HYPERLINK("https://znanium.com/catalog/product/1860651", "Ознакомиться")</f>
        <v>Ознакомиться</v>
      </c>
      <c r="W210" s="8" t="s">
        <v>1475</v>
      </c>
      <c r="X210" s="6" t="s">
        <v>1343</v>
      </c>
      <c r="Y210" s="6"/>
      <c r="Z210" s="6"/>
      <c r="AA210" s="6" t="s">
        <v>93</v>
      </c>
    </row>
    <row r="211" spans="1:27" s="4" customFormat="1" ht="51.95" customHeight="1">
      <c r="A211" s="5">
        <v>0</v>
      </c>
      <c r="B211" s="6" t="s">
        <v>1476</v>
      </c>
      <c r="C211" s="13">
        <v>1344</v>
      </c>
      <c r="D211" s="8" t="s">
        <v>1477</v>
      </c>
      <c r="E211" s="8" t="s">
        <v>1478</v>
      </c>
      <c r="F211" s="8" t="s">
        <v>1479</v>
      </c>
      <c r="G211" s="6" t="s">
        <v>67</v>
      </c>
      <c r="H211" s="6" t="s">
        <v>53</v>
      </c>
      <c r="I211" s="8" t="s">
        <v>114</v>
      </c>
      <c r="J211" s="9">
        <v>1</v>
      </c>
      <c r="K211" s="9">
        <v>292</v>
      </c>
      <c r="L211" s="9">
        <v>2024</v>
      </c>
      <c r="M211" s="8" t="s">
        <v>1480</v>
      </c>
      <c r="N211" s="8" t="s">
        <v>56</v>
      </c>
      <c r="O211" s="8" t="s">
        <v>57</v>
      </c>
      <c r="P211" s="6" t="s">
        <v>116</v>
      </c>
      <c r="Q211" s="8" t="s">
        <v>81</v>
      </c>
      <c r="R211" s="10" t="s">
        <v>1481</v>
      </c>
      <c r="S211" s="11"/>
      <c r="T211" s="6"/>
      <c r="U211" s="27" t="str">
        <f>HYPERLINK("https://media.infra-m.ru/2091/2091919/cover/2091919.jpg", "Обложка")</f>
        <v>Обложка</v>
      </c>
      <c r="V211" s="27" t="str">
        <f>HYPERLINK("https://znanium.com/catalog/product/1047100", "Ознакомиться")</f>
        <v>Ознакомиться</v>
      </c>
      <c r="W211" s="8" t="s">
        <v>287</v>
      </c>
      <c r="X211" s="6"/>
      <c r="Y211" s="6"/>
      <c r="Z211" s="6"/>
      <c r="AA211" s="6" t="s">
        <v>201</v>
      </c>
    </row>
    <row r="212" spans="1:27" s="4" customFormat="1" ht="51.95" customHeight="1">
      <c r="A212" s="5">
        <v>0</v>
      </c>
      <c r="B212" s="6" t="s">
        <v>1482</v>
      </c>
      <c r="C212" s="7">
        <v>730</v>
      </c>
      <c r="D212" s="8" t="s">
        <v>1483</v>
      </c>
      <c r="E212" s="8" t="s">
        <v>1484</v>
      </c>
      <c r="F212" s="8" t="s">
        <v>1485</v>
      </c>
      <c r="G212" s="6" t="s">
        <v>37</v>
      </c>
      <c r="H212" s="6" t="s">
        <v>53</v>
      </c>
      <c r="I212" s="8" t="s">
        <v>174</v>
      </c>
      <c r="J212" s="9">
        <v>1</v>
      </c>
      <c r="K212" s="9">
        <v>147</v>
      </c>
      <c r="L212" s="9">
        <v>2023</v>
      </c>
      <c r="M212" s="8" t="s">
        <v>1486</v>
      </c>
      <c r="N212" s="8" t="s">
        <v>56</v>
      </c>
      <c r="O212" s="8" t="s">
        <v>57</v>
      </c>
      <c r="P212" s="6" t="s">
        <v>42</v>
      </c>
      <c r="Q212" s="8" t="s">
        <v>150</v>
      </c>
      <c r="R212" s="10" t="s">
        <v>1487</v>
      </c>
      <c r="S212" s="11" t="s">
        <v>1488</v>
      </c>
      <c r="T212" s="6"/>
      <c r="U212" s="27" t="str">
        <f>HYPERLINK("https://media.infra-m.ru/1893/1893885/cover/1893885.jpg", "Обложка")</f>
        <v>Обложка</v>
      </c>
      <c r="V212" s="27" t="str">
        <f>HYPERLINK("https://znanium.com/catalog/product/1893885", "Ознакомиться")</f>
        <v>Ознакомиться</v>
      </c>
      <c r="W212" s="8" t="s">
        <v>46</v>
      </c>
      <c r="X212" s="6" t="s">
        <v>335</v>
      </c>
      <c r="Y212" s="6"/>
      <c r="Z212" s="6"/>
      <c r="AA212" s="6" t="s">
        <v>93</v>
      </c>
    </row>
    <row r="213" spans="1:27" s="4" customFormat="1" ht="51.95" customHeight="1">
      <c r="A213" s="5">
        <v>0</v>
      </c>
      <c r="B213" s="6" t="s">
        <v>1489</v>
      </c>
      <c r="C213" s="13">
        <v>1690</v>
      </c>
      <c r="D213" s="8" t="s">
        <v>1490</v>
      </c>
      <c r="E213" s="8" t="s">
        <v>1491</v>
      </c>
      <c r="F213" s="8" t="s">
        <v>1492</v>
      </c>
      <c r="G213" s="6" t="s">
        <v>67</v>
      </c>
      <c r="H213" s="6" t="s">
        <v>53</v>
      </c>
      <c r="I213" s="8" t="s">
        <v>54</v>
      </c>
      <c r="J213" s="9">
        <v>1</v>
      </c>
      <c r="K213" s="9">
        <v>375</v>
      </c>
      <c r="L213" s="9">
        <v>2023</v>
      </c>
      <c r="M213" s="8" t="s">
        <v>1493</v>
      </c>
      <c r="N213" s="8" t="s">
        <v>56</v>
      </c>
      <c r="O213" s="8" t="s">
        <v>57</v>
      </c>
      <c r="P213" s="6" t="s">
        <v>69</v>
      </c>
      <c r="Q213" s="8" t="s">
        <v>58</v>
      </c>
      <c r="R213" s="10" t="s">
        <v>1494</v>
      </c>
      <c r="S213" s="11" t="s">
        <v>1495</v>
      </c>
      <c r="T213" s="6"/>
      <c r="U213" s="27" t="str">
        <f>HYPERLINK("https://media.infra-m.ru/2012/2012497/cover/2012497.jpg", "Обложка")</f>
        <v>Обложка</v>
      </c>
      <c r="V213" s="27" t="str">
        <f>HYPERLINK("https://znanium.com/catalog/product/1939033", "Ознакомиться")</f>
        <v>Ознакомиться</v>
      </c>
      <c r="W213" s="8" t="s">
        <v>261</v>
      </c>
      <c r="X213" s="6"/>
      <c r="Y213" s="6"/>
      <c r="Z213" s="6"/>
      <c r="AA213" s="6" t="s">
        <v>143</v>
      </c>
    </row>
    <row r="214" spans="1:27" s="4" customFormat="1" ht="51.95" customHeight="1">
      <c r="A214" s="5">
        <v>0</v>
      </c>
      <c r="B214" s="6" t="s">
        <v>1496</v>
      </c>
      <c r="C214" s="7">
        <v>299.89999999999998</v>
      </c>
      <c r="D214" s="8" t="s">
        <v>1497</v>
      </c>
      <c r="E214" s="8" t="s">
        <v>1498</v>
      </c>
      <c r="F214" s="8" t="s">
        <v>1499</v>
      </c>
      <c r="G214" s="6"/>
      <c r="H214" s="6" t="s">
        <v>53</v>
      </c>
      <c r="I214" s="8" t="s">
        <v>165</v>
      </c>
      <c r="J214" s="9">
        <v>10</v>
      </c>
      <c r="K214" s="9">
        <v>184</v>
      </c>
      <c r="L214" s="9">
        <v>2015</v>
      </c>
      <c r="M214" s="8" t="s">
        <v>1500</v>
      </c>
      <c r="N214" s="8" t="s">
        <v>56</v>
      </c>
      <c r="O214" s="8" t="s">
        <v>57</v>
      </c>
      <c r="P214" s="6" t="s">
        <v>42</v>
      </c>
      <c r="Q214" s="8" t="s">
        <v>43</v>
      </c>
      <c r="R214" s="10" t="s">
        <v>1501</v>
      </c>
      <c r="S214" s="11" t="s">
        <v>1502</v>
      </c>
      <c r="T214" s="6"/>
      <c r="U214" s="27" t="str">
        <f>HYPERLINK("https://media.infra-m.ru/0494/0494760/cover/494760.jpg", "Обложка")</f>
        <v>Обложка</v>
      </c>
      <c r="V214" s="27" t="str">
        <f>HYPERLINK("https://znanium.com/catalog/product/400300", "Ознакомиться")</f>
        <v>Ознакомиться</v>
      </c>
      <c r="W214" s="8" t="s">
        <v>1503</v>
      </c>
      <c r="X214" s="6"/>
      <c r="Y214" s="6"/>
      <c r="Z214" s="6"/>
      <c r="AA214" s="6" t="s">
        <v>208</v>
      </c>
    </row>
    <row r="215" spans="1:27" s="4" customFormat="1" ht="51.95" customHeight="1">
      <c r="A215" s="5">
        <v>0</v>
      </c>
      <c r="B215" s="6" t="s">
        <v>1504</v>
      </c>
      <c r="C215" s="7">
        <v>664.9</v>
      </c>
      <c r="D215" s="8" t="s">
        <v>1505</v>
      </c>
      <c r="E215" s="8" t="s">
        <v>1506</v>
      </c>
      <c r="F215" s="8" t="s">
        <v>1361</v>
      </c>
      <c r="G215" s="6" t="s">
        <v>37</v>
      </c>
      <c r="H215" s="6" t="s">
        <v>53</v>
      </c>
      <c r="I215" s="8" t="s">
        <v>148</v>
      </c>
      <c r="J215" s="9">
        <v>1</v>
      </c>
      <c r="K215" s="9">
        <v>196</v>
      </c>
      <c r="L215" s="9">
        <v>2020</v>
      </c>
      <c r="M215" s="8" t="s">
        <v>1507</v>
      </c>
      <c r="N215" s="8" t="s">
        <v>56</v>
      </c>
      <c r="O215" s="8" t="s">
        <v>57</v>
      </c>
      <c r="P215" s="6" t="s">
        <v>42</v>
      </c>
      <c r="Q215" s="8" t="s">
        <v>150</v>
      </c>
      <c r="R215" s="10" t="s">
        <v>1508</v>
      </c>
      <c r="S215" s="11" t="s">
        <v>1509</v>
      </c>
      <c r="T215" s="6"/>
      <c r="U215" s="27" t="str">
        <f>HYPERLINK("https://media.infra-m.ru/1081/1081895/cover/1081895.jpg", "Обложка")</f>
        <v>Обложка</v>
      </c>
      <c r="V215" s="27" t="str">
        <f>HYPERLINK("https://znanium.com/catalog/product/1015857", "Ознакомиться")</f>
        <v>Ознакомиться</v>
      </c>
      <c r="W215" s="8" t="s">
        <v>1364</v>
      </c>
      <c r="X215" s="6"/>
      <c r="Y215" s="6"/>
      <c r="Z215" s="6"/>
      <c r="AA215" s="6" t="s">
        <v>1335</v>
      </c>
    </row>
    <row r="216" spans="1:27" s="4" customFormat="1" ht="51.95" customHeight="1">
      <c r="A216" s="5">
        <v>0</v>
      </c>
      <c r="B216" s="6" t="s">
        <v>1510</v>
      </c>
      <c r="C216" s="7">
        <v>734.9</v>
      </c>
      <c r="D216" s="8" t="s">
        <v>1511</v>
      </c>
      <c r="E216" s="8" t="s">
        <v>1512</v>
      </c>
      <c r="F216" s="8" t="s">
        <v>1361</v>
      </c>
      <c r="G216" s="6" t="s">
        <v>37</v>
      </c>
      <c r="H216" s="6" t="s">
        <v>53</v>
      </c>
      <c r="I216" s="8" t="s">
        <v>148</v>
      </c>
      <c r="J216" s="9">
        <v>1</v>
      </c>
      <c r="K216" s="9">
        <v>163</v>
      </c>
      <c r="L216" s="9">
        <v>2023</v>
      </c>
      <c r="M216" s="8" t="s">
        <v>1513</v>
      </c>
      <c r="N216" s="8" t="s">
        <v>56</v>
      </c>
      <c r="O216" s="8" t="s">
        <v>57</v>
      </c>
      <c r="P216" s="6" t="s">
        <v>42</v>
      </c>
      <c r="Q216" s="8" t="s">
        <v>150</v>
      </c>
      <c r="R216" s="10" t="s">
        <v>1508</v>
      </c>
      <c r="S216" s="11" t="s">
        <v>1514</v>
      </c>
      <c r="T216" s="6"/>
      <c r="U216" s="27" t="str">
        <f>HYPERLINK("https://media.infra-m.ru/1911/1911805/cover/1911805.jpg", "Обложка")</f>
        <v>Обложка</v>
      </c>
      <c r="V216" s="27" t="str">
        <f>HYPERLINK("https://znanium.com/catalog/product/1015857", "Ознакомиться")</f>
        <v>Ознакомиться</v>
      </c>
      <c r="W216" s="8" t="s">
        <v>1364</v>
      </c>
      <c r="X216" s="6"/>
      <c r="Y216" s="6"/>
      <c r="Z216" s="6"/>
      <c r="AA216" s="6" t="s">
        <v>253</v>
      </c>
    </row>
    <row r="217" spans="1:27" s="4" customFormat="1" ht="51.95" customHeight="1">
      <c r="A217" s="5">
        <v>0</v>
      </c>
      <c r="B217" s="6" t="s">
        <v>1515</v>
      </c>
      <c r="C217" s="7">
        <v>569.9</v>
      </c>
      <c r="D217" s="8" t="s">
        <v>1516</v>
      </c>
      <c r="E217" s="8" t="s">
        <v>1517</v>
      </c>
      <c r="F217" s="8" t="s">
        <v>1518</v>
      </c>
      <c r="G217" s="6" t="s">
        <v>37</v>
      </c>
      <c r="H217" s="6" t="s">
        <v>53</v>
      </c>
      <c r="I217" s="8" t="s">
        <v>1519</v>
      </c>
      <c r="J217" s="9">
        <v>10</v>
      </c>
      <c r="K217" s="9">
        <v>256</v>
      </c>
      <c r="L217" s="9">
        <v>2015</v>
      </c>
      <c r="M217" s="8" t="s">
        <v>1520</v>
      </c>
      <c r="N217" s="8" t="s">
        <v>56</v>
      </c>
      <c r="O217" s="8" t="s">
        <v>57</v>
      </c>
      <c r="P217" s="6" t="s">
        <v>42</v>
      </c>
      <c r="Q217" s="8" t="s">
        <v>43</v>
      </c>
      <c r="R217" s="10" t="s">
        <v>1521</v>
      </c>
      <c r="S217" s="11"/>
      <c r="T217" s="6"/>
      <c r="U217" s="27" t="str">
        <f>HYPERLINK("https://media.infra-m.ru/0469/0469150/cover/469150.jpg", "Обложка")</f>
        <v>Обложка</v>
      </c>
      <c r="V217" s="27" t="str">
        <f>HYPERLINK("https://znanium.com/catalog/product/1008808", "Ознакомиться")</f>
        <v>Ознакомиться</v>
      </c>
      <c r="W217" s="8" t="s">
        <v>1522</v>
      </c>
      <c r="X217" s="6"/>
      <c r="Y217" s="6"/>
      <c r="Z217" s="6"/>
      <c r="AA217" s="6" t="s">
        <v>308</v>
      </c>
    </row>
    <row r="218" spans="1:27" s="4" customFormat="1" ht="51.95" customHeight="1">
      <c r="A218" s="5">
        <v>0</v>
      </c>
      <c r="B218" s="6" t="s">
        <v>1523</v>
      </c>
      <c r="C218" s="7">
        <v>704.9</v>
      </c>
      <c r="D218" s="8" t="s">
        <v>1524</v>
      </c>
      <c r="E218" s="8" t="s">
        <v>1525</v>
      </c>
      <c r="F218" s="8" t="s">
        <v>1526</v>
      </c>
      <c r="G218" s="6" t="s">
        <v>37</v>
      </c>
      <c r="H218" s="6" t="s">
        <v>53</v>
      </c>
      <c r="I218" s="8" t="s">
        <v>165</v>
      </c>
      <c r="J218" s="9">
        <v>1</v>
      </c>
      <c r="K218" s="9">
        <v>221</v>
      </c>
      <c r="L218" s="9">
        <v>2019</v>
      </c>
      <c r="M218" s="8" t="s">
        <v>1527</v>
      </c>
      <c r="N218" s="8" t="s">
        <v>56</v>
      </c>
      <c r="O218" s="8" t="s">
        <v>57</v>
      </c>
      <c r="P218" s="6" t="s">
        <v>42</v>
      </c>
      <c r="Q218" s="8" t="s">
        <v>43</v>
      </c>
      <c r="R218" s="10" t="s">
        <v>1528</v>
      </c>
      <c r="S218" s="11" t="s">
        <v>1529</v>
      </c>
      <c r="T218" s="6" t="s">
        <v>277</v>
      </c>
      <c r="U218" s="27" t="str">
        <f>HYPERLINK("https://media.infra-m.ru/1007/1007094/cover/1007094.jpg", "Обложка")</f>
        <v>Обложка</v>
      </c>
      <c r="V218" s="27" t="str">
        <f>HYPERLINK("https://znanium.com/catalog/product/1007094", "Ознакомиться")</f>
        <v>Ознакомиться</v>
      </c>
      <c r="W218" s="8" t="s">
        <v>1530</v>
      </c>
      <c r="X218" s="6"/>
      <c r="Y218" s="6"/>
      <c r="Z218" s="6"/>
      <c r="AA218" s="6" t="s">
        <v>540</v>
      </c>
    </row>
    <row r="219" spans="1:27" s="4" customFormat="1" ht="51.95" customHeight="1">
      <c r="A219" s="5">
        <v>0</v>
      </c>
      <c r="B219" s="6" t="s">
        <v>1531</v>
      </c>
      <c r="C219" s="13">
        <v>1154.9000000000001</v>
      </c>
      <c r="D219" s="8" t="s">
        <v>1532</v>
      </c>
      <c r="E219" s="8" t="s">
        <v>1533</v>
      </c>
      <c r="F219" s="8" t="s">
        <v>1534</v>
      </c>
      <c r="G219" s="6" t="s">
        <v>37</v>
      </c>
      <c r="H219" s="6" t="s">
        <v>265</v>
      </c>
      <c r="I219" s="8" t="s">
        <v>54</v>
      </c>
      <c r="J219" s="9">
        <v>1</v>
      </c>
      <c r="K219" s="9">
        <v>304</v>
      </c>
      <c r="L219" s="9">
        <v>2022</v>
      </c>
      <c r="M219" s="8" t="s">
        <v>1535</v>
      </c>
      <c r="N219" s="8" t="s">
        <v>56</v>
      </c>
      <c r="O219" s="8" t="s">
        <v>57</v>
      </c>
      <c r="P219" s="6" t="s">
        <v>69</v>
      </c>
      <c r="Q219" s="8" t="s">
        <v>43</v>
      </c>
      <c r="R219" s="10" t="s">
        <v>1536</v>
      </c>
      <c r="S219" s="11" t="s">
        <v>1537</v>
      </c>
      <c r="T219" s="6"/>
      <c r="U219" s="27" t="str">
        <f>HYPERLINK("https://media.infra-m.ru/1831/1831179/cover/1831179.jpg", "Обложка")</f>
        <v>Обложка</v>
      </c>
      <c r="V219" s="27" t="str">
        <f>HYPERLINK("https://znanium.com/catalog/product/1831179", "Ознакомиться")</f>
        <v>Ознакомиться</v>
      </c>
      <c r="W219" s="8" t="s">
        <v>91</v>
      </c>
      <c r="X219" s="6"/>
      <c r="Y219" s="6"/>
      <c r="Z219" s="6"/>
      <c r="AA219" s="6" t="s">
        <v>208</v>
      </c>
    </row>
    <row r="220" spans="1:27" s="4" customFormat="1" ht="51.95" customHeight="1">
      <c r="A220" s="5">
        <v>0</v>
      </c>
      <c r="B220" s="6" t="s">
        <v>1538</v>
      </c>
      <c r="C220" s="13">
        <v>1550</v>
      </c>
      <c r="D220" s="8" t="s">
        <v>1539</v>
      </c>
      <c r="E220" s="8" t="s">
        <v>1540</v>
      </c>
      <c r="F220" s="8" t="s">
        <v>1541</v>
      </c>
      <c r="G220" s="6" t="s">
        <v>67</v>
      </c>
      <c r="H220" s="6" t="s">
        <v>265</v>
      </c>
      <c r="I220" s="8" t="s">
        <v>165</v>
      </c>
      <c r="J220" s="9">
        <v>1</v>
      </c>
      <c r="K220" s="9">
        <v>336</v>
      </c>
      <c r="L220" s="9">
        <v>2023</v>
      </c>
      <c r="M220" s="8" t="s">
        <v>1542</v>
      </c>
      <c r="N220" s="8" t="s">
        <v>56</v>
      </c>
      <c r="O220" s="8" t="s">
        <v>57</v>
      </c>
      <c r="P220" s="6" t="s">
        <v>69</v>
      </c>
      <c r="Q220" s="8" t="s">
        <v>43</v>
      </c>
      <c r="R220" s="10" t="s">
        <v>267</v>
      </c>
      <c r="S220" s="11" t="s">
        <v>1543</v>
      </c>
      <c r="T220" s="6"/>
      <c r="U220" s="27" t="str">
        <f>HYPERLINK("https://media.infra-m.ru/1941/1941771/cover/1941771.jpg", "Обложка")</f>
        <v>Обложка</v>
      </c>
      <c r="V220" s="27" t="str">
        <f>HYPERLINK("https://znanium.com/catalog/product/1941771", "Ознакомиться")</f>
        <v>Ознакомиться</v>
      </c>
      <c r="W220" s="8" t="s">
        <v>91</v>
      </c>
      <c r="X220" s="6"/>
      <c r="Y220" s="6"/>
      <c r="Z220" s="6"/>
      <c r="AA220" s="6" t="s">
        <v>766</v>
      </c>
    </row>
    <row r="221" spans="1:27" s="4" customFormat="1" ht="51.95" customHeight="1">
      <c r="A221" s="5">
        <v>0</v>
      </c>
      <c r="B221" s="6" t="s">
        <v>1544</v>
      </c>
      <c r="C221" s="13">
        <v>1920</v>
      </c>
      <c r="D221" s="8" t="s">
        <v>1545</v>
      </c>
      <c r="E221" s="8" t="s">
        <v>1546</v>
      </c>
      <c r="F221" s="8" t="s">
        <v>36</v>
      </c>
      <c r="G221" s="6" t="s">
        <v>37</v>
      </c>
      <c r="H221" s="6" t="s">
        <v>38</v>
      </c>
      <c r="I221" s="8" t="s">
        <v>1547</v>
      </c>
      <c r="J221" s="9">
        <v>1</v>
      </c>
      <c r="K221" s="9">
        <v>417</v>
      </c>
      <c r="L221" s="9">
        <v>2024</v>
      </c>
      <c r="M221" s="8" t="s">
        <v>1548</v>
      </c>
      <c r="N221" s="8" t="s">
        <v>40</v>
      </c>
      <c r="O221" s="8" t="s">
        <v>41</v>
      </c>
      <c r="P221" s="6" t="s">
        <v>69</v>
      </c>
      <c r="Q221" s="8" t="s">
        <v>150</v>
      </c>
      <c r="R221" s="10" t="s">
        <v>1549</v>
      </c>
      <c r="S221" s="11"/>
      <c r="T221" s="6" t="s">
        <v>277</v>
      </c>
      <c r="U221" s="27" t="str">
        <f>HYPERLINK("https://media.infra-m.ru/2103/2103195/cover/2103195.jpg", "Обложка")</f>
        <v>Обложка</v>
      </c>
      <c r="V221" s="27" t="str">
        <f>HYPERLINK("https://znanium.com/catalog/product/2103195", "Ознакомиться")</f>
        <v>Ознакомиться</v>
      </c>
      <c r="W221" s="8" t="s">
        <v>46</v>
      </c>
      <c r="X221" s="6"/>
      <c r="Y221" s="6"/>
      <c r="Z221" s="6"/>
      <c r="AA221" s="6" t="s">
        <v>73</v>
      </c>
    </row>
    <row r="222" spans="1:27" s="4" customFormat="1" ht="51.95" customHeight="1">
      <c r="A222" s="5">
        <v>0</v>
      </c>
      <c r="B222" s="6" t="s">
        <v>1550</v>
      </c>
      <c r="C222" s="7">
        <v>914</v>
      </c>
      <c r="D222" s="8" t="s">
        <v>1551</v>
      </c>
      <c r="E222" s="8" t="s">
        <v>1552</v>
      </c>
      <c r="F222" s="8" t="s">
        <v>1553</v>
      </c>
      <c r="G222" s="6" t="s">
        <v>67</v>
      </c>
      <c r="H222" s="6" t="s">
        <v>53</v>
      </c>
      <c r="I222" s="8" t="s">
        <v>165</v>
      </c>
      <c r="J222" s="9">
        <v>1</v>
      </c>
      <c r="K222" s="9">
        <v>199</v>
      </c>
      <c r="L222" s="9">
        <v>2024</v>
      </c>
      <c r="M222" s="8" t="s">
        <v>1554</v>
      </c>
      <c r="N222" s="8" t="s">
        <v>56</v>
      </c>
      <c r="O222" s="8" t="s">
        <v>57</v>
      </c>
      <c r="P222" s="6" t="s">
        <v>42</v>
      </c>
      <c r="Q222" s="8" t="s">
        <v>43</v>
      </c>
      <c r="R222" s="10" t="s">
        <v>1555</v>
      </c>
      <c r="S222" s="11" t="s">
        <v>1556</v>
      </c>
      <c r="T222" s="6"/>
      <c r="U222" s="27" t="str">
        <f>HYPERLINK("https://media.infra-m.ru/2053/2053190/cover/2053190.jpg", "Обложка")</f>
        <v>Обложка</v>
      </c>
      <c r="V222" s="27" t="str">
        <f>HYPERLINK("https://znanium.com/catalog/product/1246745", "Ознакомиться")</f>
        <v>Ознакомиться</v>
      </c>
      <c r="W222" s="8" t="s">
        <v>1557</v>
      </c>
      <c r="X222" s="6"/>
      <c r="Y222" s="6"/>
      <c r="Z222" s="6"/>
      <c r="AA222" s="6" t="s">
        <v>1335</v>
      </c>
    </row>
    <row r="223" spans="1:27" s="4" customFormat="1" ht="51.95" customHeight="1">
      <c r="A223" s="5">
        <v>0</v>
      </c>
      <c r="B223" s="6" t="s">
        <v>1558</v>
      </c>
      <c r="C223" s="7">
        <v>930</v>
      </c>
      <c r="D223" s="8" t="s">
        <v>1559</v>
      </c>
      <c r="E223" s="8" t="s">
        <v>1552</v>
      </c>
      <c r="F223" s="8" t="s">
        <v>1553</v>
      </c>
      <c r="G223" s="6" t="s">
        <v>67</v>
      </c>
      <c r="H223" s="6" t="s">
        <v>53</v>
      </c>
      <c r="I223" s="8" t="s">
        <v>652</v>
      </c>
      <c r="J223" s="9">
        <v>1</v>
      </c>
      <c r="K223" s="9">
        <v>199</v>
      </c>
      <c r="L223" s="9">
        <v>2023</v>
      </c>
      <c r="M223" s="8" t="s">
        <v>1560</v>
      </c>
      <c r="N223" s="8" t="s">
        <v>56</v>
      </c>
      <c r="O223" s="8" t="s">
        <v>57</v>
      </c>
      <c r="P223" s="6" t="s">
        <v>42</v>
      </c>
      <c r="Q223" s="8" t="s">
        <v>654</v>
      </c>
      <c r="R223" s="10" t="s">
        <v>1561</v>
      </c>
      <c r="S223" s="11" t="s">
        <v>1562</v>
      </c>
      <c r="T223" s="6"/>
      <c r="U223" s="27" t="str">
        <f>HYPERLINK("https://media.infra-m.ru/1986/1986679/cover/1986679.jpg", "Обложка")</f>
        <v>Обложка</v>
      </c>
      <c r="V223" s="27" t="str">
        <f>HYPERLINK("https://znanium.com/catalog/product/1986679", "Ознакомиться")</f>
        <v>Ознакомиться</v>
      </c>
      <c r="W223" s="8" t="s">
        <v>1557</v>
      </c>
      <c r="X223" s="6"/>
      <c r="Y223" s="6"/>
      <c r="Z223" s="6" t="s">
        <v>657</v>
      </c>
      <c r="AA223" s="6" t="s">
        <v>1214</v>
      </c>
    </row>
    <row r="224" spans="1:27" s="4" customFormat="1" ht="51.95" customHeight="1">
      <c r="A224" s="5">
        <v>0</v>
      </c>
      <c r="B224" s="6" t="s">
        <v>1563</v>
      </c>
      <c r="C224" s="7">
        <v>900</v>
      </c>
      <c r="D224" s="8" t="s">
        <v>1564</v>
      </c>
      <c r="E224" s="8" t="s">
        <v>1565</v>
      </c>
      <c r="F224" s="8" t="s">
        <v>1553</v>
      </c>
      <c r="G224" s="6" t="s">
        <v>67</v>
      </c>
      <c r="H224" s="6" t="s">
        <v>53</v>
      </c>
      <c r="I224" s="8" t="s">
        <v>220</v>
      </c>
      <c r="J224" s="9">
        <v>1</v>
      </c>
      <c r="K224" s="9">
        <v>199</v>
      </c>
      <c r="L224" s="9">
        <v>2021</v>
      </c>
      <c r="M224" s="8" t="s">
        <v>1566</v>
      </c>
      <c r="N224" s="8" t="s">
        <v>56</v>
      </c>
      <c r="O224" s="8" t="s">
        <v>57</v>
      </c>
      <c r="P224" s="6" t="s">
        <v>42</v>
      </c>
      <c r="Q224" s="8" t="s">
        <v>222</v>
      </c>
      <c r="R224" s="10" t="s">
        <v>1567</v>
      </c>
      <c r="S224" s="11" t="s">
        <v>1568</v>
      </c>
      <c r="T224" s="6"/>
      <c r="U224" s="27" t="str">
        <f>HYPERLINK("https://media.infra-m.ru/1947/1947422/cover/1947422.jpg", "Обложка")</f>
        <v>Обложка</v>
      </c>
      <c r="V224" s="27" t="str">
        <f>HYPERLINK("https://znanium.com/catalog/product/1178154", "Ознакомиться")</f>
        <v>Ознакомиться</v>
      </c>
      <c r="W224" s="8" t="s">
        <v>1557</v>
      </c>
      <c r="X224" s="6"/>
      <c r="Y224" s="6"/>
      <c r="Z224" s="6" t="s">
        <v>225</v>
      </c>
      <c r="AA224" s="6" t="s">
        <v>143</v>
      </c>
    </row>
    <row r="225" spans="1:27" s="4" customFormat="1" ht="51.95" customHeight="1">
      <c r="A225" s="5">
        <v>0</v>
      </c>
      <c r="B225" s="6" t="s">
        <v>1569</v>
      </c>
      <c r="C225" s="7">
        <v>714</v>
      </c>
      <c r="D225" s="8" t="s">
        <v>1570</v>
      </c>
      <c r="E225" s="8" t="s">
        <v>1571</v>
      </c>
      <c r="F225" s="8" t="s">
        <v>1572</v>
      </c>
      <c r="G225" s="6" t="s">
        <v>52</v>
      </c>
      <c r="H225" s="6" t="s">
        <v>53</v>
      </c>
      <c r="I225" s="8" t="s">
        <v>114</v>
      </c>
      <c r="J225" s="9">
        <v>1</v>
      </c>
      <c r="K225" s="9">
        <v>156</v>
      </c>
      <c r="L225" s="9">
        <v>2024</v>
      </c>
      <c r="M225" s="8" t="s">
        <v>1573</v>
      </c>
      <c r="N225" s="8" t="s">
        <v>56</v>
      </c>
      <c r="O225" s="8" t="s">
        <v>57</v>
      </c>
      <c r="P225" s="6" t="s">
        <v>116</v>
      </c>
      <c r="Q225" s="8" t="s">
        <v>81</v>
      </c>
      <c r="R225" s="10" t="s">
        <v>117</v>
      </c>
      <c r="S225" s="11"/>
      <c r="T225" s="6" t="s">
        <v>277</v>
      </c>
      <c r="U225" s="27" t="str">
        <f>HYPERLINK("https://media.infra-m.ru/2106/2106746/cover/2106746.jpg", "Обложка")</f>
        <v>Обложка</v>
      </c>
      <c r="V225" s="27" t="str">
        <f>HYPERLINK("https://znanium.com/catalog/product/1081867", "Ознакомиться")</f>
        <v>Ознакомиться</v>
      </c>
      <c r="W225" s="8" t="s">
        <v>134</v>
      </c>
      <c r="X225" s="6"/>
      <c r="Y225" s="6"/>
      <c r="Z225" s="6"/>
      <c r="AA225" s="6" t="s">
        <v>47</v>
      </c>
    </row>
    <row r="226" spans="1:27" s="4" customFormat="1" ht="44.1" customHeight="1">
      <c r="A226" s="5">
        <v>0</v>
      </c>
      <c r="B226" s="6" t="s">
        <v>1574</v>
      </c>
      <c r="C226" s="7">
        <v>750</v>
      </c>
      <c r="D226" s="8" t="s">
        <v>1575</v>
      </c>
      <c r="E226" s="8" t="s">
        <v>1576</v>
      </c>
      <c r="F226" s="8" t="s">
        <v>1577</v>
      </c>
      <c r="G226" s="6" t="s">
        <v>52</v>
      </c>
      <c r="H226" s="6" t="s">
        <v>53</v>
      </c>
      <c r="I226" s="8" t="s">
        <v>114</v>
      </c>
      <c r="J226" s="9">
        <v>1</v>
      </c>
      <c r="K226" s="9">
        <v>147</v>
      </c>
      <c r="L226" s="9">
        <v>2023</v>
      </c>
      <c r="M226" s="8" t="s">
        <v>1578</v>
      </c>
      <c r="N226" s="8" t="s">
        <v>56</v>
      </c>
      <c r="O226" s="8" t="s">
        <v>57</v>
      </c>
      <c r="P226" s="6" t="s">
        <v>116</v>
      </c>
      <c r="Q226" s="8" t="s">
        <v>81</v>
      </c>
      <c r="R226" s="10" t="s">
        <v>1579</v>
      </c>
      <c r="S226" s="11"/>
      <c r="T226" s="6"/>
      <c r="U226" s="27" t="str">
        <f>HYPERLINK("https://media.infra-m.ru/1915/1915813/cover/1915813.jpg", "Обложка")</f>
        <v>Обложка</v>
      </c>
      <c r="V226" s="27" t="str">
        <f>HYPERLINK("https://znanium.com/catalog/product/1915813", "Ознакомиться")</f>
        <v>Ознакомиться</v>
      </c>
      <c r="W226" s="8" t="s">
        <v>1364</v>
      </c>
      <c r="X226" s="6" t="s">
        <v>335</v>
      </c>
      <c r="Y226" s="6"/>
      <c r="Z226" s="6"/>
      <c r="AA226" s="6" t="s">
        <v>93</v>
      </c>
    </row>
    <row r="227" spans="1:27" s="4" customFormat="1" ht="42" customHeight="1">
      <c r="A227" s="5">
        <v>0</v>
      </c>
      <c r="B227" s="6" t="s">
        <v>1580</v>
      </c>
      <c r="C227" s="13">
        <v>1010</v>
      </c>
      <c r="D227" s="8" t="s">
        <v>1581</v>
      </c>
      <c r="E227" s="8" t="s">
        <v>1582</v>
      </c>
      <c r="F227" s="8" t="s">
        <v>1583</v>
      </c>
      <c r="G227" s="6" t="s">
        <v>52</v>
      </c>
      <c r="H227" s="6" t="s">
        <v>53</v>
      </c>
      <c r="I227" s="8" t="s">
        <v>522</v>
      </c>
      <c r="J227" s="9">
        <v>1</v>
      </c>
      <c r="K227" s="9">
        <v>225</v>
      </c>
      <c r="L227" s="9">
        <v>2023</v>
      </c>
      <c r="M227" s="8" t="s">
        <v>1584</v>
      </c>
      <c r="N227" s="8" t="s">
        <v>56</v>
      </c>
      <c r="O227" s="8" t="s">
        <v>57</v>
      </c>
      <c r="P227" s="6" t="s">
        <v>116</v>
      </c>
      <c r="Q227" s="8" t="s">
        <v>81</v>
      </c>
      <c r="R227" s="10" t="s">
        <v>388</v>
      </c>
      <c r="S227" s="11"/>
      <c r="T227" s="6"/>
      <c r="U227" s="27" t="str">
        <f>HYPERLINK("https://media.infra-m.ru/1995/1995250/cover/1995250.jpg", "Обложка")</f>
        <v>Обложка</v>
      </c>
      <c r="V227" s="27" t="str">
        <f>HYPERLINK("https://znanium.com/catalog/product/1995250", "Ознакомиться")</f>
        <v>Ознакомиться</v>
      </c>
      <c r="W227" s="8" t="s">
        <v>524</v>
      </c>
      <c r="X227" s="6"/>
      <c r="Y227" s="6"/>
      <c r="Z227" s="6"/>
      <c r="AA227" s="6" t="s">
        <v>510</v>
      </c>
    </row>
    <row r="228" spans="1:27" s="4" customFormat="1" ht="42" customHeight="1">
      <c r="A228" s="5">
        <v>0</v>
      </c>
      <c r="B228" s="6" t="s">
        <v>1585</v>
      </c>
      <c r="C228" s="13">
        <v>2442</v>
      </c>
      <c r="D228" s="8" t="s">
        <v>1586</v>
      </c>
      <c r="E228" s="8" t="s">
        <v>1587</v>
      </c>
      <c r="F228" s="8" t="s">
        <v>1588</v>
      </c>
      <c r="G228" s="6" t="s">
        <v>37</v>
      </c>
      <c r="H228" s="6" t="s">
        <v>53</v>
      </c>
      <c r="I228" s="8"/>
      <c r="J228" s="9">
        <v>1</v>
      </c>
      <c r="K228" s="9">
        <v>634</v>
      </c>
      <c r="L228" s="9">
        <v>2023</v>
      </c>
      <c r="M228" s="8" t="s">
        <v>1589</v>
      </c>
      <c r="N228" s="8" t="s">
        <v>56</v>
      </c>
      <c r="O228" s="8" t="s">
        <v>57</v>
      </c>
      <c r="P228" s="6" t="s">
        <v>116</v>
      </c>
      <c r="Q228" s="8" t="s">
        <v>81</v>
      </c>
      <c r="R228" s="10" t="s">
        <v>1590</v>
      </c>
      <c r="S228" s="11"/>
      <c r="T228" s="6" t="s">
        <v>277</v>
      </c>
      <c r="U228" s="27" t="str">
        <f>HYPERLINK("https://media.infra-m.ru/1893/1893903/cover/1893903.jpg", "Обложка")</f>
        <v>Обложка</v>
      </c>
      <c r="V228" s="27" t="str">
        <f>HYPERLINK("https://znanium.com/catalog/product/1893903", "Ознакомиться")</f>
        <v>Ознакомиться</v>
      </c>
      <c r="W228" s="8" t="s">
        <v>91</v>
      </c>
      <c r="X228" s="6"/>
      <c r="Y228" s="6"/>
      <c r="Z228" s="6"/>
      <c r="AA228" s="6" t="s">
        <v>343</v>
      </c>
    </row>
    <row r="229" spans="1:27" s="4" customFormat="1" ht="51.95" customHeight="1">
      <c r="A229" s="5">
        <v>0</v>
      </c>
      <c r="B229" s="6" t="s">
        <v>1591</v>
      </c>
      <c r="C229" s="7">
        <v>520</v>
      </c>
      <c r="D229" s="8" t="s">
        <v>1592</v>
      </c>
      <c r="E229" s="8" t="s">
        <v>1593</v>
      </c>
      <c r="F229" s="8" t="s">
        <v>1594</v>
      </c>
      <c r="G229" s="6" t="s">
        <v>52</v>
      </c>
      <c r="H229" s="6" t="s">
        <v>53</v>
      </c>
      <c r="I229" s="8" t="s">
        <v>114</v>
      </c>
      <c r="J229" s="9">
        <v>1</v>
      </c>
      <c r="K229" s="9">
        <v>112</v>
      </c>
      <c r="L229" s="9">
        <v>2023</v>
      </c>
      <c r="M229" s="8" t="s">
        <v>1595</v>
      </c>
      <c r="N229" s="8" t="s">
        <v>56</v>
      </c>
      <c r="O229" s="8" t="s">
        <v>57</v>
      </c>
      <c r="P229" s="6" t="s">
        <v>116</v>
      </c>
      <c r="Q229" s="8" t="s">
        <v>81</v>
      </c>
      <c r="R229" s="10" t="s">
        <v>151</v>
      </c>
      <c r="S229" s="11"/>
      <c r="T229" s="6"/>
      <c r="U229" s="27" t="str">
        <f>HYPERLINK("https://media.infra-m.ru/2038/2038320/cover/2038320.jpg", "Обложка")</f>
        <v>Обложка</v>
      </c>
      <c r="V229" s="27" t="str">
        <f>HYPERLINK("https://znanium.com/catalog/product/2038320", "Ознакомиться")</f>
        <v>Ознакомиться</v>
      </c>
      <c r="W229" s="8" t="s">
        <v>1596</v>
      </c>
      <c r="X229" s="6"/>
      <c r="Y229" s="6"/>
      <c r="Z229" s="6"/>
      <c r="AA229" s="6" t="s">
        <v>84</v>
      </c>
    </row>
    <row r="230" spans="1:27" s="4" customFormat="1" ht="42" customHeight="1">
      <c r="A230" s="5">
        <v>0</v>
      </c>
      <c r="B230" s="6" t="s">
        <v>1597</v>
      </c>
      <c r="C230" s="13">
        <v>1394</v>
      </c>
      <c r="D230" s="8" t="s">
        <v>1598</v>
      </c>
      <c r="E230" s="8" t="s">
        <v>1599</v>
      </c>
      <c r="F230" s="8" t="s">
        <v>1600</v>
      </c>
      <c r="G230" s="6" t="s">
        <v>37</v>
      </c>
      <c r="H230" s="6" t="s">
        <v>53</v>
      </c>
      <c r="I230" s="8" t="s">
        <v>165</v>
      </c>
      <c r="J230" s="9">
        <v>1</v>
      </c>
      <c r="K230" s="9">
        <v>304</v>
      </c>
      <c r="L230" s="9">
        <v>2023</v>
      </c>
      <c r="M230" s="8" t="s">
        <v>1601</v>
      </c>
      <c r="N230" s="8" t="s">
        <v>56</v>
      </c>
      <c r="O230" s="8" t="s">
        <v>57</v>
      </c>
      <c r="P230" s="6" t="s">
        <v>42</v>
      </c>
      <c r="Q230" s="8" t="s">
        <v>43</v>
      </c>
      <c r="R230" s="10" t="s">
        <v>1602</v>
      </c>
      <c r="S230" s="11"/>
      <c r="T230" s="6" t="s">
        <v>277</v>
      </c>
      <c r="U230" s="27" t="str">
        <f>HYPERLINK("https://media.infra-m.ru/1981/1981596/cover/1981596.jpg", "Обложка")</f>
        <v>Обложка</v>
      </c>
      <c r="V230" s="27" t="str">
        <f>HYPERLINK("https://znanium.com/catalog/product/1233664", "Ознакомиться")</f>
        <v>Ознакомиться</v>
      </c>
      <c r="W230" s="8" t="s">
        <v>1603</v>
      </c>
      <c r="X230" s="6"/>
      <c r="Y230" s="6"/>
      <c r="Z230" s="6"/>
      <c r="AA230" s="6" t="s">
        <v>84</v>
      </c>
    </row>
    <row r="231" spans="1:27" s="4" customFormat="1" ht="51.95" customHeight="1">
      <c r="A231" s="5">
        <v>0</v>
      </c>
      <c r="B231" s="6" t="s">
        <v>1604</v>
      </c>
      <c r="C231" s="7">
        <v>500</v>
      </c>
      <c r="D231" s="8" t="s">
        <v>1605</v>
      </c>
      <c r="E231" s="8" t="s">
        <v>1606</v>
      </c>
      <c r="F231" s="8" t="s">
        <v>1607</v>
      </c>
      <c r="G231" s="6" t="s">
        <v>52</v>
      </c>
      <c r="H231" s="6" t="s">
        <v>53</v>
      </c>
      <c r="I231" s="8" t="s">
        <v>148</v>
      </c>
      <c r="J231" s="9">
        <v>1</v>
      </c>
      <c r="K231" s="9">
        <v>111</v>
      </c>
      <c r="L231" s="9">
        <v>2022</v>
      </c>
      <c r="M231" s="8" t="s">
        <v>1608</v>
      </c>
      <c r="N231" s="8" t="s">
        <v>56</v>
      </c>
      <c r="O231" s="8" t="s">
        <v>57</v>
      </c>
      <c r="P231" s="6" t="s">
        <v>42</v>
      </c>
      <c r="Q231" s="8" t="s">
        <v>150</v>
      </c>
      <c r="R231" s="10" t="s">
        <v>241</v>
      </c>
      <c r="S231" s="11" t="s">
        <v>1609</v>
      </c>
      <c r="T231" s="6"/>
      <c r="U231" s="27" t="str">
        <f>HYPERLINK("https://media.infra-m.ru/1735/1735488/cover/1735488.jpg", "Обложка")</f>
        <v>Обложка</v>
      </c>
      <c r="V231" s="27" t="str">
        <f>HYPERLINK("https://znanium.com/catalog/product/1735488", "Ознакомиться")</f>
        <v>Ознакомиться</v>
      </c>
      <c r="W231" s="8" t="s">
        <v>1610</v>
      </c>
      <c r="X231" s="6"/>
      <c r="Y231" s="6"/>
      <c r="Z231" s="6"/>
      <c r="AA231" s="6" t="s">
        <v>73</v>
      </c>
    </row>
    <row r="232" spans="1:27" s="4" customFormat="1" ht="42" customHeight="1">
      <c r="A232" s="5">
        <v>0</v>
      </c>
      <c r="B232" s="6" t="s">
        <v>1611</v>
      </c>
      <c r="C232" s="7">
        <v>974.9</v>
      </c>
      <c r="D232" s="8" t="s">
        <v>1612</v>
      </c>
      <c r="E232" s="8" t="s">
        <v>1613</v>
      </c>
      <c r="F232" s="8" t="s">
        <v>1614</v>
      </c>
      <c r="G232" s="6" t="s">
        <v>67</v>
      </c>
      <c r="H232" s="6" t="s">
        <v>53</v>
      </c>
      <c r="I232" s="8" t="s">
        <v>148</v>
      </c>
      <c r="J232" s="9">
        <v>1</v>
      </c>
      <c r="K232" s="9">
        <v>216</v>
      </c>
      <c r="L232" s="9">
        <v>2023</v>
      </c>
      <c r="M232" s="8" t="s">
        <v>1615</v>
      </c>
      <c r="N232" s="8" t="s">
        <v>56</v>
      </c>
      <c r="O232" s="8" t="s">
        <v>57</v>
      </c>
      <c r="P232" s="6" t="s">
        <v>69</v>
      </c>
      <c r="Q232" s="8" t="s">
        <v>150</v>
      </c>
      <c r="R232" s="10" t="s">
        <v>1616</v>
      </c>
      <c r="S232" s="11"/>
      <c r="T232" s="6"/>
      <c r="U232" s="27" t="str">
        <f>HYPERLINK("https://media.infra-m.ru/2030/2030866/cover/2030866.jpg", "Обложка")</f>
        <v>Обложка</v>
      </c>
      <c r="V232" s="27" t="str">
        <f>HYPERLINK("https://znanium.com/catalog/product/1019338", "Ознакомиться")</f>
        <v>Ознакомиться</v>
      </c>
      <c r="W232" s="8" t="s">
        <v>1155</v>
      </c>
      <c r="X232" s="6"/>
      <c r="Y232" s="6"/>
      <c r="Z232" s="6"/>
      <c r="AA232" s="6" t="s">
        <v>73</v>
      </c>
    </row>
    <row r="233" spans="1:27" s="4" customFormat="1" ht="51.95" customHeight="1">
      <c r="A233" s="5">
        <v>0</v>
      </c>
      <c r="B233" s="6" t="s">
        <v>1617</v>
      </c>
      <c r="C233" s="13">
        <v>2280</v>
      </c>
      <c r="D233" s="8" t="s">
        <v>1618</v>
      </c>
      <c r="E233" s="8" t="s">
        <v>1619</v>
      </c>
      <c r="F233" s="8" t="s">
        <v>1620</v>
      </c>
      <c r="G233" s="6" t="s">
        <v>37</v>
      </c>
      <c r="H233" s="6" t="s">
        <v>239</v>
      </c>
      <c r="I233" s="8" t="s">
        <v>386</v>
      </c>
      <c r="J233" s="9">
        <v>1</v>
      </c>
      <c r="K233" s="9">
        <v>496</v>
      </c>
      <c r="L233" s="9">
        <v>2024</v>
      </c>
      <c r="M233" s="8" t="s">
        <v>1621</v>
      </c>
      <c r="N233" s="8" t="s">
        <v>56</v>
      </c>
      <c r="O233" s="8" t="s">
        <v>57</v>
      </c>
      <c r="P233" s="6" t="s">
        <v>69</v>
      </c>
      <c r="Q233" s="8" t="s">
        <v>150</v>
      </c>
      <c r="R233" s="10" t="s">
        <v>1622</v>
      </c>
      <c r="S233" s="11"/>
      <c r="T233" s="6" t="s">
        <v>277</v>
      </c>
      <c r="U233" s="27" t="str">
        <f>HYPERLINK("https://media.infra-m.ru/2096/2096931/cover/2096931.jpg", "Обложка")</f>
        <v>Обложка</v>
      </c>
      <c r="V233" s="27" t="str">
        <f>HYPERLINK("https://znanium.com/catalog/product/2096931", "Ознакомиться")</f>
        <v>Ознакомиться</v>
      </c>
      <c r="W233" s="8" t="s">
        <v>1014</v>
      </c>
      <c r="X233" s="6"/>
      <c r="Y233" s="6"/>
      <c r="Z233" s="6"/>
      <c r="AA233" s="6" t="s">
        <v>253</v>
      </c>
    </row>
    <row r="234" spans="1:27" s="4" customFormat="1" ht="51.95" customHeight="1">
      <c r="A234" s="5">
        <v>0</v>
      </c>
      <c r="B234" s="6" t="s">
        <v>1623</v>
      </c>
      <c r="C234" s="13">
        <v>1254</v>
      </c>
      <c r="D234" s="8" t="s">
        <v>1624</v>
      </c>
      <c r="E234" s="8" t="s">
        <v>1619</v>
      </c>
      <c r="F234" s="8" t="s">
        <v>1625</v>
      </c>
      <c r="G234" s="6" t="s">
        <v>67</v>
      </c>
      <c r="H234" s="6" t="s">
        <v>53</v>
      </c>
      <c r="I234" s="8" t="s">
        <v>148</v>
      </c>
      <c r="J234" s="9">
        <v>1</v>
      </c>
      <c r="K234" s="9">
        <v>272</v>
      </c>
      <c r="L234" s="9">
        <v>2023</v>
      </c>
      <c r="M234" s="8" t="s">
        <v>1626</v>
      </c>
      <c r="N234" s="8" t="s">
        <v>56</v>
      </c>
      <c r="O234" s="8" t="s">
        <v>57</v>
      </c>
      <c r="P234" s="6" t="s">
        <v>69</v>
      </c>
      <c r="Q234" s="8" t="s">
        <v>150</v>
      </c>
      <c r="R234" s="10" t="s">
        <v>1627</v>
      </c>
      <c r="S234" s="11" t="s">
        <v>1628</v>
      </c>
      <c r="T234" s="6" t="s">
        <v>277</v>
      </c>
      <c r="U234" s="27" t="str">
        <f>HYPERLINK("https://media.infra-m.ru/1905/1905074/cover/1905074.jpg", "Обложка")</f>
        <v>Обложка</v>
      </c>
      <c r="V234" s="27" t="str">
        <f>HYPERLINK("https://znanium.com/catalog/product/1167876", "Ознакомиться")</f>
        <v>Ознакомиться</v>
      </c>
      <c r="W234" s="8" t="s">
        <v>72</v>
      </c>
      <c r="X234" s="6"/>
      <c r="Y234" s="6"/>
      <c r="Z234" s="6"/>
      <c r="AA234" s="6" t="s">
        <v>208</v>
      </c>
    </row>
    <row r="235" spans="1:27" s="4" customFormat="1" ht="51.95" customHeight="1">
      <c r="A235" s="5">
        <v>0</v>
      </c>
      <c r="B235" s="6" t="s">
        <v>1629</v>
      </c>
      <c r="C235" s="13">
        <v>1780</v>
      </c>
      <c r="D235" s="8" t="s">
        <v>1630</v>
      </c>
      <c r="E235" s="8" t="s">
        <v>1631</v>
      </c>
      <c r="F235" s="8" t="s">
        <v>1632</v>
      </c>
      <c r="G235" s="6" t="s">
        <v>67</v>
      </c>
      <c r="H235" s="6" t="s">
        <v>53</v>
      </c>
      <c r="I235" s="8" t="s">
        <v>165</v>
      </c>
      <c r="J235" s="9">
        <v>1</v>
      </c>
      <c r="K235" s="9">
        <v>395</v>
      </c>
      <c r="L235" s="9">
        <v>2020</v>
      </c>
      <c r="M235" s="8" t="s">
        <v>1633</v>
      </c>
      <c r="N235" s="8" t="s">
        <v>56</v>
      </c>
      <c r="O235" s="8" t="s">
        <v>57</v>
      </c>
      <c r="P235" s="6" t="s">
        <v>69</v>
      </c>
      <c r="Q235" s="8" t="s">
        <v>43</v>
      </c>
      <c r="R235" s="10" t="s">
        <v>1634</v>
      </c>
      <c r="S235" s="11" t="s">
        <v>1635</v>
      </c>
      <c r="T235" s="6"/>
      <c r="U235" s="27" t="str">
        <f>HYPERLINK("https://media.infra-m.ru/1949/1949131/cover/1949131.jpg", "Обложка")</f>
        <v>Обложка</v>
      </c>
      <c r="V235" s="27" t="str">
        <f>HYPERLINK("https://znanium.com/catalog/product/1073651", "Ознакомиться")</f>
        <v>Ознакомиться</v>
      </c>
      <c r="W235" s="8" t="s">
        <v>1610</v>
      </c>
      <c r="X235" s="6"/>
      <c r="Y235" s="6"/>
      <c r="Z235" s="6"/>
      <c r="AA235" s="6" t="s">
        <v>1335</v>
      </c>
    </row>
    <row r="236" spans="1:27" s="4" customFormat="1" ht="51.95" customHeight="1">
      <c r="A236" s="5">
        <v>0</v>
      </c>
      <c r="B236" s="6" t="s">
        <v>1636</v>
      </c>
      <c r="C236" s="7">
        <v>880</v>
      </c>
      <c r="D236" s="8" t="s">
        <v>1637</v>
      </c>
      <c r="E236" s="8" t="s">
        <v>1619</v>
      </c>
      <c r="F236" s="8" t="s">
        <v>1638</v>
      </c>
      <c r="G236" s="6" t="s">
        <v>37</v>
      </c>
      <c r="H236" s="6" t="s">
        <v>53</v>
      </c>
      <c r="I236" s="8" t="s">
        <v>165</v>
      </c>
      <c r="J236" s="9">
        <v>1</v>
      </c>
      <c r="K236" s="9">
        <v>368</v>
      </c>
      <c r="L236" s="9">
        <v>2017</v>
      </c>
      <c r="M236" s="8" t="s">
        <v>1639</v>
      </c>
      <c r="N236" s="8" t="s">
        <v>56</v>
      </c>
      <c r="O236" s="8" t="s">
        <v>57</v>
      </c>
      <c r="P236" s="6" t="s">
        <v>69</v>
      </c>
      <c r="Q236" s="8" t="s">
        <v>43</v>
      </c>
      <c r="R236" s="10" t="s">
        <v>1634</v>
      </c>
      <c r="S236" s="11" t="s">
        <v>1640</v>
      </c>
      <c r="T236" s="6"/>
      <c r="U236" s="27" t="str">
        <f>HYPERLINK("https://media.infra-m.ru/0661/0661782/cover/661782.jpg", "Обложка")</f>
        <v>Обложка</v>
      </c>
      <c r="V236" s="27" t="str">
        <f>HYPERLINK("https://znanium.com/catalog/product/1073651", "Ознакомиться")</f>
        <v>Ознакомиться</v>
      </c>
      <c r="W236" s="8" t="s">
        <v>1641</v>
      </c>
      <c r="X236" s="6"/>
      <c r="Y236" s="6"/>
      <c r="Z236" s="6"/>
      <c r="AA236" s="6" t="s">
        <v>62</v>
      </c>
    </row>
    <row r="237" spans="1:27" s="4" customFormat="1" ht="51.95" customHeight="1">
      <c r="A237" s="5">
        <v>0</v>
      </c>
      <c r="B237" s="6" t="s">
        <v>1642</v>
      </c>
      <c r="C237" s="13">
        <v>1534</v>
      </c>
      <c r="D237" s="8" t="s">
        <v>1643</v>
      </c>
      <c r="E237" s="8" t="s">
        <v>1619</v>
      </c>
      <c r="F237" s="8" t="s">
        <v>1644</v>
      </c>
      <c r="G237" s="6" t="s">
        <v>37</v>
      </c>
      <c r="H237" s="6" t="s">
        <v>53</v>
      </c>
      <c r="I237" s="8" t="s">
        <v>165</v>
      </c>
      <c r="J237" s="9">
        <v>1</v>
      </c>
      <c r="K237" s="9">
        <v>338</v>
      </c>
      <c r="L237" s="9">
        <v>2023</v>
      </c>
      <c r="M237" s="8" t="s">
        <v>1645</v>
      </c>
      <c r="N237" s="8" t="s">
        <v>56</v>
      </c>
      <c r="O237" s="8" t="s">
        <v>57</v>
      </c>
      <c r="P237" s="6" t="s">
        <v>69</v>
      </c>
      <c r="Q237" s="8" t="s">
        <v>43</v>
      </c>
      <c r="R237" s="10" t="s">
        <v>589</v>
      </c>
      <c r="S237" s="11" t="s">
        <v>1646</v>
      </c>
      <c r="T237" s="6"/>
      <c r="U237" s="27" t="str">
        <f>HYPERLINK("https://media.infra-m.ru/2021/2021450/cover/2021450.jpg", "Обложка")</f>
        <v>Обложка</v>
      </c>
      <c r="V237" s="27" t="str">
        <f>HYPERLINK("https://znanium.com/catalog/product/1022769", "Ознакомиться")</f>
        <v>Ознакомиться</v>
      </c>
      <c r="W237" s="8" t="s">
        <v>487</v>
      </c>
      <c r="X237" s="6"/>
      <c r="Y237" s="6"/>
      <c r="Z237" s="6"/>
      <c r="AA237" s="6" t="s">
        <v>601</v>
      </c>
    </row>
    <row r="238" spans="1:27" s="4" customFormat="1" ht="51.95" customHeight="1">
      <c r="A238" s="5">
        <v>0</v>
      </c>
      <c r="B238" s="6" t="s">
        <v>1647</v>
      </c>
      <c r="C238" s="13">
        <v>1614</v>
      </c>
      <c r="D238" s="8" t="s">
        <v>1648</v>
      </c>
      <c r="E238" s="8" t="s">
        <v>1619</v>
      </c>
      <c r="F238" s="8" t="s">
        <v>1649</v>
      </c>
      <c r="G238" s="6" t="s">
        <v>37</v>
      </c>
      <c r="H238" s="6" t="s">
        <v>239</v>
      </c>
      <c r="I238" s="8" t="s">
        <v>377</v>
      </c>
      <c r="J238" s="9">
        <v>1</v>
      </c>
      <c r="K238" s="9">
        <v>352</v>
      </c>
      <c r="L238" s="9">
        <v>2024</v>
      </c>
      <c r="M238" s="8" t="s">
        <v>1650</v>
      </c>
      <c r="N238" s="8" t="s">
        <v>56</v>
      </c>
      <c r="O238" s="8" t="s">
        <v>57</v>
      </c>
      <c r="P238" s="6" t="s">
        <v>69</v>
      </c>
      <c r="Q238" s="8" t="s">
        <v>43</v>
      </c>
      <c r="R238" s="10" t="s">
        <v>1651</v>
      </c>
      <c r="S238" s="11"/>
      <c r="T238" s="6"/>
      <c r="U238" s="27" t="str">
        <f>HYPERLINK("https://media.infra-m.ru/2087/2087284/cover/2087284.jpg", "Обложка")</f>
        <v>Обложка</v>
      </c>
      <c r="V238" s="27" t="str">
        <f>HYPERLINK("https://znanium.com/catalog/product/1844253", "Ознакомиться")</f>
        <v>Ознакомиться</v>
      </c>
      <c r="W238" s="8" t="s">
        <v>539</v>
      </c>
      <c r="X238" s="6"/>
      <c r="Y238" s="6"/>
      <c r="Z238" s="6"/>
      <c r="AA238" s="6" t="s">
        <v>47</v>
      </c>
    </row>
    <row r="239" spans="1:27" s="4" customFormat="1" ht="51.95" customHeight="1">
      <c r="A239" s="5">
        <v>0</v>
      </c>
      <c r="B239" s="6" t="s">
        <v>1652</v>
      </c>
      <c r="C239" s="13">
        <v>1094.9000000000001</v>
      </c>
      <c r="D239" s="8" t="s">
        <v>1653</v>
      </c>
      <c r="E239" s="8" t="s">
        <v>1631</v>
      </c>
      <c r="F239" s="8" t="s">
        <v>1654</v>
      </c>
      <c r="G239" s="6" t="s">
        <v>37</v>
      </c>
      <c r="H239" s="6" t="s">
        <v>265</v>
      </c>
      <c r="I239" s="8" t="s">
        <v>54</v>
      </c>
      <c r="J239" s="9">
        <v>1</v>
      </c>
      <c r="K239" s="9">
        <v>288</v>
      </c>
      <c r="L239" s="9">
        <v>2022</v>
      </c>
      <c r="M239" s="8" t="s">
        <v>1655</v>
      </c>
      <c r="N239" s="8" t="s">
        <v>56</v>
      </c>
      <c r="O239" s="8" t="s">
        <v>57</v>
      </c>
      <c r="P239" s="6" t="s">
        <v>42</v>
      </c>
      <c r="Q239" s="8" t="s">
        <v>43</v>
      </c>
      <c r="R239" s="10" t="s">
        <v>300</v>
      </c>
      <c r="S239" s="11" t="s">
        <v>1656</v>
      </c>
      <c r="T239" s="6"/>
      <c r="U239" s="27" t="str">
        <f>HYPERLINK("https://media.infra-m.ru/1861/1861421/cover/1861421.jpg", "Обложка")</f>
        <v>Обложка</v>
      </c>
      <c r="V239" s="12"/>
      <c r="W239" s="8" t="s">
        <v>134</v>
      </c>
      <c r="X239" s="6"/>
      <c r="Y239" s="6"/>
      <c r="Z239" s="6"/>
      <c r="AA239" s="6" t="s">
        <v>1657</v>
      </c>
    </row>
    <row r="240" spans="1:27" s="4" customFormat="1" ht="51.95" customHeight="1">
      <c r="A240" s="5">
        <v>0</v>
      </c>
      <c r="B240" s="6" t="s">
        <v>1658</v>
      </c>
      <c r="C240" s="13">
        <v>1094.9000000000001</v>
      </c>
      <c r="D240" s="8" t="s">
        <v>1659</v>
      </c>
      <c r="E240" s="8" t="s">
        <v>1660</v>
      </c>
      <c r="F240" s="8" t="s">
        <v>1661</v>
      </c>
      <c r="G240" s="6" t="s">
        <v>37</v>
      </c>
      <c r="H240" s="6" t="s">
        <v>53</v>
      </c>
      <c r="I240" s="8" t="s">
        <v>114</v>
      </c>
      <c r="J240" s="9">
        <v>1</v>
      </c>
      <c r="K240" s="9">
        <v>281</v>
      </c>
      <c r="L240" s="9">
        <v>2022</v>
      </c>
      <c r="M240" s="8" t="s">
        <v>1662</v>
      </c>
      <c r="N240" s="8" t="s">
        <v>56</v>
      </c>
      <c r="O240" s="8" t="s">
        <v>57</v>
      </c>
      <c r="P240" s="6" t="s">
        <v>116</v>
      </c>
      <c r="Q240" s="8" t="s">
        <v>81</v>
      </c>
      <c r="R240" s="10" t="s">
        <v>1663</v>
      </c>
      <c r="S240" s="11"/>
      <c r="T240" s="6"/>
      <c r="U240" s="27" t="str">
        <f>HYPERLINK("https://media.infra-m.ru/1853/1853831/cover/1853831.jpg", "Обложка")</f>
        <v>Обложка</v>
      </c>
      <c r="V240" s="27" t="str">
        <f>HYPERLINK("https://znanium.com/catalog/product/1055181", "Ознакомиться")</f>
        <v>Ознакомиться</v>
      </c>
      <c r="W240" s="8" t="s">
        <v>91</v>
      </c>
      <c r="X240" s="6"/>
      <c r="Y240" s="6"/>
      <c r="Z240" s="6"/>
      <c r="AA240" s="6" t="s">
        <v>308</v>
      </c>
    </row>
    <row r="241" spans="1:27" s="4" customFormat="1" ht="44.1" customHeight="1">
      <c r="A241" s="5">
        <v>0</v>
      </c>
      <c r="B241" s="6" t="s">
        <v>1664</v>
      </c>
      <c r="C241" s="7">
        <v>640</v>
      </c>
      <c r="D241" s="8" t="s">
        <v>1665</v>
      </c>
      <c r="E241" s="8" t="s">
        <v>1666</v>
      </c>
      <c r="F241" s="8" t="s">
        <v>1667</v>
      </c>
      <c r="G241" s="6" t="s">
        <v>52</v>
      </c>
      <c r="H241" s="6" t="s">
        <v>98</v>
      </c>
      <c r="I241" s="8"/>
      <c r="J241" s="9">
        <v>1</v>
      </c>
      <c r="K241" s="9">
        <v>164</v>
      </c>
      <c r="L241" s="9">
        <v>2022</v>
      </c>
      <c r="M241" s="8" t="s">
        <v>1668</v>
      </c>
      <c r="N241" s="8" t="s">
        <v>56</v>
      </c>
      <c r="O241" s="8" t="s">
        <v>57</v>
      </c>
      <c r="P241" s="6" t="s">
        <v>42</v>
      </c>
      <c r="Q241" s="8" t="s">
        <v>150</v>
      </c>
      <c r="R241" s="10" t="s">
        <v>1669</v>
      </c>
      <c r="S241" s="11"/>
      <c r="T241" s="6" t="s">
        <v>277</v>
      </c>
      <c r="U241" s="27" t="str">
        <f>HYPERLINK("https://media.infra-m.ru/1864/1864097/cover/1864097.jpg", "Обложка")</f>
        <v>Обложка</v>
      </c>
      <c r="V241" s="27" t="str">
        <f>HYPERLINK("https://znanium.com/catalog/product/2073493", "Ознакомиться")</f>
        <v>Ознакомиться</v>
      </c>
      <c r="W241" s="8" t="s">
        <v>46</v>
      </c>
      <c r="X241" s="6"/>
      <c r="Y241" s="6"/>
      <c r="Z241" s="6"/>
      <c r="AA241" s="6" t="s">
        <v>1214</v>
      </c>
    </row>
    <row r="242" spans="1:27" s="4" customFormat="1" ht="51.95" customHeight="1">
      <c r="A242" s="5">
        <v>0</v>
      </c>
      <c r="B242" s="6" t="s">
        <v>1670</v>
      </c>
      <c r="C242" s="13">
        <v>2120</v>
      </c>
      <c r="D242" s="8" t="s">
        <v>1671</v>
      </c>
      <c r="E242" s="8" t="s">
        <v>1672</v>
      </c>
      <c r="F242" s="8" t="s">
        <v>1673</v>
      </c>
      <c r="G242" s="6" t="s">
        <v>67</v>
      </c>
      <c r="H242" s="6" t="s">
        <v>53</v>
      </c>
      <c r="I242" s="8" t="s">
        <v>165</v>
      </c>
      <c r="J242" s="9">
        <v>1</v>
      </c>
      <c r="K242" s="9">
        <v>472</v>
      </c>
      <c r="L242" s="9">
        <v>2022</v>
      </c>
      <c r="M242" s="8" t="s">
        <v>1674</v>
      </c>
      <c r="N242" s="8" t="s">
        <v>56</v>
      </c>
      <c r="O242" s="8" t="s">
        <v>57</v>
      </c>
      <c r="P242" s="6" t="s">
        <v>69</v>
      </c>
      <c r="Q242" s="8" t="s">
        <v>43</v>
      </c>
      <c r="R242" s="10" t="s">
        <v>1675</v>
      </c>
      <c r="S242" s="11" t="s">
        <v>1676</v>
      </c>
      <c r="T242" s="6"/>
      <c r="U242" s="27" t="str">
        <f>HYPERLINK("https://media.infra-m.ru/1948/1948217/cover/1948217.jpg", "Обложка")</f>
        <v>Обложка</v>
      </c>
      <c r="V242" s="27" t="str">
        <f>HYPERLINK("https://znanium.com/catalog/product/1846445", "Ознакомиться")</f>
        <v>Ознакомиться</v>
      </c>
      <c r="W242" s="8" t="s">
        <v>46</v>
      </c>
      <c r="X242" s="6"/>
      <c r="Y242" s="6"/>
      <c r="Z242" s="6"/>
      <c r="AA242" s="6" t="s">
        <v>47</v>
      </c>
    </row>
    <row r="243" spans="1:27" s="4" customFormat="1" ht="51.95" customHeight="1">
      <c r="A243" s="5">
        <v>0</v>
      </c>
      <c r="B243" s="6" t="s">
        <v>1677</v>
      </c>
      <c r="C243" s="13">
        <v>1834</v>
      </c>
      <c r="D243" s="8" t="s">
        <v>1678</v>
      </c>
      <c r="E243" s="8" t="s">
        <v>1672</v>
      </c>
      <c r="F243" s="8" t="s">
        <v>1679</v>
      </c>
      <c r="G243" s="6" t="s">
        <v>67</v>
      </c>
      <c r="H243" s="6" t="s">
        <v>53</v>
      </c>
      <c r="I243" s="8" t="s">
        <v>436</v>
      </c>
      <c r="J243" s="9">
        <v>1</v>
      </c>
      <c r="K243" s="9">
        <v>399</v>
      </c>
      <c r="L243" s="9">
        <v>2024</v>
      </c>
      <c r="M243" s="8" t="s">
        <v>1680</v>
      </c>
      <c r="N243" s="8" t="s">
        <v>56</v>
      </c>
      <c r="O243" s="8" t="s">
        <v>57</v>
      </c>
      <c r="P243" s="6" t="s">
        <v>69</v>
      </c>
      <c r="Q243" s="8" t="s">
        <v>43</v>
      </c>
      <c r="R243" s="10" t="s">
        <v>285</v>
      </c>
      <c r="S243" s="11" t="s">
        <v>1681</v>
      </c>
      <c r="T243" s="6"/>
      <c r="U243" s="27" t="str">
        <f>HYPERLINK("https://media.infra-m.ru/2082/2082047/cover/2082047.jpg", "Обложка")</f>
        <v>Обложка</v>
      </c>
      <c r="V243" s="27" t="str">
        <f>HYPERLINK("https://znanium.com/catalog/product/2082009", "Ознакомиться")</f>
        <v>Ознакомиться</v>
      </c>
      <c r="W243" s="8" t="s">
        <v>46</v>
      </c>
      <c r="X243" s="6"/>
      <c r="Y243" s="6"/>
      <c r="Z243" s="6"/>
      <c r="AA243" s="6" t="s">
        <v>601</v>
      </c>
    </row>
    <row r="244" spans="1:27" s="4" customFormat="1" ht="51.95" customHeight="1">
      <c r="A244" s="5">
        <v>0</v>
      </c>
      <c r="B244" s="6" t="s">
        <v>1682</v>
      </c>
      <c r="C244" s="13">
        <v>1940</v>
      </c>
      <c r="D244" s="8" t="s">
        <v>1683</v>
      </c>
      <c r="E244" s="8" t="s">
        <v>1684</v>
      </c>
      <c r="F244" s="8" t="s">
        <v>1685</v>
      </c>
      <c r="G244" s="6" t="s">
        <v>37</v>
      </c>
      <c r="H244" s="6" t="s">
        <v>53</v>
      </c>
      <c r="I244" s="8" t="s">
        <v>148</v>
      </c>
      <c r="J244" s="9">
        <v>1</v>
      </c>
      <c r="K244" s="9">
        <v>422</v>
      </c>
      <c r="L244" s="9">
        <v>2023</v>
      </c>
      <c r="M244" s="8" t="s">
        <v>1686</v>
      </c>
      <c r="N244" s="8" t="s">
        <v>56</v>
      </c>
      <c r="O244" s="8" t="s">
        <v>57</v>
      </c>
      <c r="P244" s="6" t="s">
        <v>42</v>
      </c>
      <c r="Q244" s="8" t="s">
        <v>150</v>
      </c>
      <c r="R244" s="10" t="s">
        <v>319</v>
      </c>
      <c r="S244" s="11" t="s">
        <v>1687</v>
      </c>
      <c r="T244" s="6"/>
      <c r="U244" s="27" t="str">
        <f>HYPERLINK("https://media.infra-m.ru/0958/0958799/cover/958799.jpg", "Обложка")</f>
        <v>Обложка</v>
      </c>
      <c r="V244" s="27" t="str">
        <f>HYPERLINK("https://znanium.com/catalog/product/958799", "Ознакомиться")</f>
        <v>Ознакомиться</v>
      </c>
      <c r="W244" s="8" t="s">
        <v>1688</v>
      </c>
      <c r="X244" s="6" t="s">
        <v>335</v>
      </c>
      <c r="Y244" s="6"/>
      <c r="Z244" s="6"/>
      <c r="AA244" s="6" t="s">
        <v>336</v>
      </c>
    </row>
    <row r="245" spans="1:27" s="4" customFormat="1" ht="51.95" customHeight="1">
      <c r="A245" s="5">
        <v>0</v>
      </c>
      <c r="B245" s="6" t="s">
        <v>1689</v>
      </c>
      <c r="C245" s="13">
        <v>1284.9000000000001</v>
      </c>
      <c r="D245" s="8" t="s">
        <v>1690</v>
      </c>
      <c r="E245" s="8" t="s">
        <v>1672</v>
      </c>
      <c r="F245" s="8" t="s">
        <v>1691</v>
      </c>
      <c r="G245" s="6" t="s">
        <v>67</v>
      </c>
      <c r="H245" s="6" t="s">
        <v>53</v>
      </c>
      <c r="I245" s="8" t="s">
        <v>165</v>
      </c>
      <c r="J245" s="9">
        <v>1</v>
      </c>
      <c r="K245" s="9">
        <v>286</v>
      </c>
      <c r="L245" s="9">
        <v>2023</v>
      </c>
      <c r="M245" s="8" t="s">
        <v>1692</v>
      </c>
      <c r="N245" s="8" t="s">
        <v>56</v>
      </c>
      <c r="O245" s="8" t="s">
        <v>57</v>
      </c>
      <c r="P245" s="6" t="s">
        <v>42</v>
      </c>
      <c r="Q245" s="8" t="s">
        <v>43</v>
      </c>
      <c r="R245" s="10" t="s">
        <v>1693</v>
      </c>
      <c r="S245" s="11" t="s">
        <v>1694</v>
      </c>
      <c r="T245" s="6"/>
      <c r="U245" s="27" t="str">
        <f>HYPERLINK("https://media.infra-m.ru/1981/1981586/cover/1981586.jpg", "Обложка")</f>
        <v>Обложка</v>
      </c>
      <c r="V245" s="27" t="str">
        <f>HYPERLINK("https://znanium.com/catalog/product/1003842", "Ознакомиться")</f>
        <v>Ознакомиться</v>
      </c>
      <c r="W245" s="8" t="s">
        <v>841</v>
      </c>
      <c r="X245" s="6"/>
      <c r="Y245" s="6"/>
      <c r="Z245" s="6"/>
      <c r="AA245" s="6" t="s">
        <v>288</v>
      </c>
    </row>
    <row r="246" spans="1:27" s="4" customFormat="1" ht="51.95" customHeight="1">
      <c r="A246" s="5">
        <v>0</v>
      </c>
      <c r="B246" s="6" t="s">
        <v>1695</v>
      </c>
      <c r="C246" s="13">
        <v>1990</v>
      </c>
      <c r="D246" s="8" t="s">
        <v>1696</v>
      </c>
      <c r="E246" s="8" t="s">
        <v>1697</v>
      </c>
      <c r="F246" s="8" t="s">
        <v>1698</v>
      </c>
      <c r="G246" s="6" t="s">
        <v>37</v>
      </c>
      <c r="H246" s="6" t="s">
        <v>53</v>
      </c>
      <c r="I246" s="8" t="s">
        <v>54</v>
      </c>
      <c r="J246" s="9">
        <v>1</v>
      </c>
      <c r="K246" s="9">
        <v>472</v>
      </c>
      <c r="L246" s="9">
        <v>2024</v>
      </c>
      <c r="M246" s="8" t="s">
        <v>1699</v>
      </c>
      <c r="N246" s="8" t="s">
        <v>56</v>
      </c>
      <c r="O246" s="8" t="s">
        <v>57</v>
      </c>
      <c r="P246" s="6" t="s">
        <v>69</v>
      </c>
      <c r="Q246" s="8" t="s">
        <v>43</v>
      </c>
      <c r="R246" s="10" t="s">
        <v>1700</v>
      </c>
      <c r="S246" s="11" t="s">
        <v>1701</v>
      </c>
      <c r="T246" s="6"/>
      <c r="U246" s="27" t="str">
        <f>HYPERLINK("https://media.infra-m.ru/2073/2073486/cover/2073486.jpg", "Обложка")</f>
        <v>Обложка</v>
      </c>
      <c r="V246" s="27" t="str">
        <f>HYPERLINK("https://znanium.com/catalog/product/2073486", "Ознакомиться")</f>
        <v>Ознакомиться</v>
      </c>
      <c r="W246" s="8" t="s">
        <v>46</v>
      </c>
      <c r="X246" s="6"/>
      <c r="Y246" s="6"/>
      <c r="Z246" s="6"/>
      <c r="AA246" s="6" t="s">
        <v>253</v>
      </c>
    </row>
    <row r="247" spans="1:27" s="4" customFormat="1" ht="51.95" customHeight="1">
      <c r="A247" s="5">
        <v>0</v>
      </c>
      <c r="B247" s="6" t="s">
        <v>1702</v>
      </c>
      <c r="C247" s="7">
        <v>824.9</v>
      </c>
      <c r="D247" s="8" t="s">
        <v>1703</v>
      </c>
      <c r="E247" s="8" t="s">
        <v>1704</v>
      </c>
      <c r="F247" s="8" t="s">
        <v>1705</v>
      </c>
      <c r="G247" s="6" t="s">
        <v>52</v>
      </c>
      <c r="H247" s="6" t="s">
        <v>53</v>
      </c>
      <c r="I247" s="8" t="s">
        <v>114</v>
      </c>
      <c r="J247" s="9">
        <v>1</v>
      </c>
      <c r="K247" s="9">
        <v>184</v>
      </c>
      <c r="L247" s="9">
        <v>2023</v>
      </c>
      <c r="M247" s="8" t="s">
        <v>1706</v>
      </c>
      <c r="N247" s="8" t="s">
        <v>56</v>
      </c>
      <c r="O247" s="8" t="s">
        <v>57</v>
      </c>
      <c r="P247" s="6" t="s">
        <v>116</v>
      </c>
      <c r="Q247" s="8" t="s">
        <v>81</v>
      </c>
      <c r="R247" s="10" t="s">
        <v>1707</v>
      </c>
      <c r="S247" s="11"/>
      <c r="T247" s="6"/>
      <c r="U247" s="27" t="str">
        <f>HYPERLINK("https://media.infra-m.ru/1981/1981734/cover/1981734.jpg", "Обложка")</f>
        <v>Обложка</v>
      </c>
      <c r="V247" s="27" t="str">
        <f>HYPERLINK("https://znanium.com/catalog/product/1843598", "Ознакомиться")</f>
        <v>Ознакомиться</v>
      </c>
      <c r="W247" s="8" t="s">
        <v>307</v>
      </c>
      <c r="X247" s="6"/>
      <c r="Y247" s="6"/>
      <c r="Z247" s="6"/>
      <c r="AA247" s="6" t="s">
        <v>62</v>
      </c>
    </row>
    <row r="248" spans="1:27" s="4" customFormat="1" ht="51.95" customHeight="1">
      <c r="A248" s="5">
        <v>0</v>
      </c>
      <c r="B248" s="6" t="s">
        <v>1708</v>
      </c>
      <c r="C248" s="13">
        <v>1944.9</v>
      </c>
      <c r="D248" s="8" t="s">
        <v>1709</v>
      </c>
      <c r="E248" s="8" t="s">
        <v>1710</v>
      </c>
      <c r="F248" s="8" t="s">
        <v>1711</v>
      </c>
      <c r="G248" s="6" t="s">
        <v>37</v>
      </c>
      <c r="H248" s="6" t="s">
        <v>239</v>
      </c>
      <c r="I248" s="8"/>
      <c r="J248" s="9">
        <v>1</v>
      </c>
      <c r="K248" s="9">
        <v>512</v>
      </c>
      <c r="L248" s="9">
        <v>2022</v>
      </c>
      <c r="M248" s="8" t="s">
        <v>1712</v>
      </c>
      <c r="N248" s="8" t="s">
        <v>56</v>
      </c>
      <c r="O248" s="8" t="s">
        <v>57</v>
      </c>
      <c r="P248" s="6" t="s">
        <v>69</v>
      </c>
      <c r="Q248" s="8" t="s">
        <v>43</v>
      </c>
      <c r="R248" s="10" t="s">
        <v>1713</v>
      </c>
      <c r="S248" s="11" t="s">
        <v>1714</v>
      </c>
      <c r="T248" s="6"/>
      <c r="U248" s="27" t="str">
        <f>HYPERLINK("https://media.infra-m.ru/1843/1843596/cover/1843596.jpg", "Обложка")</f>
        <v>Обложка</v>
      </c>
      <c r="V248" s="27" t="str">
        <f>HYPERLINK("https://znanium.com/catalog/product/1843596", "Ознакомиться")</f>
        <v>Ознакомиться</v>
      </c>
      <c r="W248" s="8" t="s">
        <v>1430</v>
      </c>
      <c r="X248" s="6"/>
      <c r="Y248" s="6"/>
      <c r="Z248" s="6"/>
      <c r="AA248" s="6" t="s">
        <v>62</v>
      </c>
    </row>
    <row r="249" spans="1:27" s="4" customFormat="1" ht="51.95" customHeight="1">
      <c r="A249" s="5">
        <v>0</v>
      </c>
      <c r="B249" s="6" t="s">
        <v>1715</v>
      </c>
      <c r="C249" s="13">
        <v>1494</v>
      </c>
      <c r="D249" s="8" t="s">
        <v>1716</v>
      </c>
      <c r="E249" s="8" t="s">
        <v>1717</v>
      </c>
      <c r="F249" s="8" t="s">
        <v>1718</v>
      </c>
      <c r="G249" s="6" t="s">
        <v>67</v>
      </c>
      <c r="H249" s="6" t="s">
        <v>53</v>
      </c>
      <c r="I249" s="8" t="s">
        <v>165</v>
      </c>
      <c r="J249" s="9">
        <v>1</v>
      </c>
      <c r="K249" s="9">
        <v>332</v>
      </c>
      <c r="L249" s="9">
        <v>2023</v>
      </c>
      <c r="M249" s="8" t="s">
        <v>1719</v>
      </c>
      <c r="N249" s="8" t="s">
        <v>56</v>
      </c>
      <c r="O249" s="8" t="s">
        <v>57</v>
      </c>
      <c r="P249" s="6" t="s">
        <v>42</v>
      </c>
      <c r="Q249" s="8" t="s">
        <v>43</v>
      </c>
      <c r="R249" s="10" t="s">
        <v>1720</v>
      </c>
      <c r="S249" s="11" t="s">
        <v>1721</v>
      </c>
      <c r="T249" s="6"/>
      <c r="U249" s="27" t="str">
        <f>HYPERLINK("https://media.infra-m.ru/2045/2045828/cover/2045828.jpg", "Обложка")</f>
        <v>Обложка</v>
      </c>
      <c r="V249" s="27" t="str">
        <f>HYPERLINK("https://znanium.com/catalog/product/1007033", "Ознакомиться")</f>
        <v>Ознакомиться</v>
      </c>
      <c r="W249" s="8" t="s">
        <v>1722</v>
      </c>
      <c r="X249" s="6"/>
      <c r="Y249" s="6"/>
      <c r="Z249" s="6"/>
      <c r="AA249" s="6" t="s">
        <v>208</v>
      </c>
    </row>
    <row r="250" spans="1:27" s="4" customFormat="1" ht="51.95" customHeight="1">
      <c r="A250" s="5">
        <v>0</v>
      </c>
      <c r="B250" s="6" t="s">
        <v>1723</v>
      </c>
      <c r="C250" s="13">
        <v>1144</v>
      </c>
      <c r="D250" s="8" t="s">
        <v>1724</v>
      </c>
      <c r="E250" s="8" t="s">
        <v>1725</v>
      </c>
      <c r="F250" s="8" t="s">
        <v>1726</v>
      </c>
      <c r="G250" s="6" t="s">
        <v>52</v>
      </c>
      <c r="H250" s="6" t="s">
        <v>98</v>
      </c>
      <c r="I250" s="8" t="s">
        <v>114</v>
      </c>
      <c r="J250" s="9">
        <v>1</v>
      </c>
      <c r="K250" s="9">
        <v>248</v>
      </c>
      <c r="L250" s="9">
        <v>2024</v>
      </c>
      <c r="M250" s="8" t="s">
        <v>1727</v>
      </c>
      <c r="N250" s="8" t="s">
        <v>56</v>
      </c>
      <c r="O250" s="8" t="s">
        <v>57</v>
      </c>
      <c r="P250" s="6" t="s">
        <v>116</v>
      </c>
      <c r="Q250" s="8" t="s">
        <v>81</v>
      </c>
      <c r="R250" s="10" t="s">
        <v>1728</v>
      </c>
      <c r="S250" s="11"/>
      <c r="T250" s="6"/>
      <c r="U250" s="27" t="str">
        <f>HYPERLINK("https://media.infra-m.ru/2117/2117117/cover/2117117.jpg", "Обложка")</f>
        <v>Обложка</v>
      </c>
      <c r="V250" s="27" t="str">
        <f>HYPERLINK("https://znanium.com/catalog/product/933915", "Ознакомиться")</f>
        <v>Ознакомиться</v>
      </c>
      <c r="W250" s="8" t="s">
        <v>1729</v>
      </c>
      <c r="X250" s="6"/>
      <c r="Y250" s="6"/>
      <c r="Z250" s="6"/>
      <c r="AA250" s="6" t="s">
        <v>62</v>
      </c>
    </row>
    <row r="251" spans="1:27" s="4" customFormat="1" ht="42" customHeight="1">
      <c r="A251" s="5">
        <v>0</v>
      </c>
      <c r="B251" s="6" t="s">
        <v>1730</v>
      </c>
      <c r="C251" s="13">
        <v>1340</v>
      </c>
      <c r="D251" s="8" t="s">
        <v>1731</v>
      </c>
      <c r="E251" s="8" t="s">
        <v>1732</v>
      </c>
      <c r="F251" s="8" t="s">
        <v>1733</v>
      </c>
      <c r="G251" s="6" t="s">
        <v>37</v>
      </c>
      <c r="H251" s="6" t="s">
        <v>239</v>
      </c>
      <c r="I251" s="8"/>
      <c r="J251" s="9">
        <v>1</v>
      </c>
      <c r="K251" s="9">
        <v>296</v>
      </c>
      <c r="L251" s="9">
        <v>2023</v>
      </c>
      <c r="M251" s="8" t="s">
        <v>1734</v>
      </c>
      <c r="N251" s="8" t="s">
        <v>56</v>
      </c>
      <c r="O251" s="8" t="s">
        <v>57</v>
      </c>
      <c r="P251" s="6" t="s">
        <v>116</v>
      </c>
      <c r="Q251" s="8" t="s">
        <v>81</v>
      </c>
      <c r="R251" s="10" t="s">
        <v>1735</v>
      </c>
      <c r="S251" s="11"/>
      <c r="T251" s="6"/>
      <c r="U251" s="27" t="str">
        <f>HYPERLINK("https://media.infra-m.ru/1904/1904716/cover/1904716.jpg", "Обложка")</f>
        <v>Обложка</v>
      </c>
      <c r="V251" s="27" t="str">
        <f>HYPERLINK("https://znanium.com/catalog/product/1904716", "Ознакомиться")</f>
        <v>Ознакомиться</v>
      </c>
      <c r="W251" s="8"/>
      <c r="X251" s="6"/>
      <c r="Y251" s="6"/>
      <c r="Z251" s="6"/>
      <c r="AA251" s="6" t="s">
        <v>93</v>
      </c>
    </row>
    <row r="252" spans="1:27" s="4" customFormat="1" ht="51.95" customHeight="1">
      <c r="A252" s="5">
        <v>0</v>
      </c>
      <c r="B252" s="6" t="s">
        <v>1736</v>
      </c>
      <c r="C252" s="13">
        <v>1454.9</v>
      </c>
      <c r="D252" s="8" t="s">
        <v>1737</v>
      </c>
      <c r="E252" s="8" t="s">
        <v>1738</v>
      </c>
      <c r="F252" s="8" t="s">
        <v>1739</v>
      </c>
      <c r="G252" s="6" t="s">
        <v>37</v>
      </c>
      <c r="H252" s="6" t="s">
        <v>38</v>
      </c>
      <c r="I252" s="8"/>
      <c r="J252" s="9">
        <v>1</v>
      </c>
      <c r="K252" s="9">
        <v>323</v>
      </c>
      <c r="L252" s="9">
        <v>2023</v>
      </c>
      <c r="M252" s="8" t="s">
        <v>1740</v>
      </c>
      <c r="N252" s="8" t="s">
        <v>56</v>
      </c>
      <c r="O252" s="8" t="s">
        <v>57</v>
      </c>
      <c r="P252" s="6" t="s">
        <v>69</v>
      </c>
      <c r="Q252" s="8" t="s">
        <v>43</v>
      </c>
      <c r="R252" s="10" t="s">
        <v>1741</v>
      </c>
      <c r="S252" s="11"/>
      <c r="T252" s="6" t="s">
        <v>277</v>
      </c>
      <c r="U252" s="27" t="str">
        <f>HYPERLINK("https://media.infra-m.ru/1900/1900820/cover/1900820.jpg", "Обложка")</f>
        <v>Обложка</v>
      </c>
      <c r="V252" s="27" t="str">
        <f>HYPERLINK("https://znanium.com/catalog/product/1840869", "Ознакомиться")</f>
        <v>Ознакомиться</v>
      </c>
      <c r="W252" s="8" t="s">
        <v>46</v>
      </c>
      <c r="X252" s="6"/>
      <c r="Y252" s="6"/>
      <c r="Z252" s="6"/>
      <c r="AA252" s="6" t="s">
        <v>253</v>
      </c>
    </row>
    <row r="253" spans="1:27" s="4" customFormat="1" ht="42" customHeight="1">
      <c r="A253" s="5">
        <v>0</v>
      </c>
      <c r="B253" s="6" t="s">
        <v>1742</v>
      </c>
      <c r="C253" s="7">
        <v>774</v>
      </c>
      <c r="D253" s="8" t="s">
        <v>1743</v>
      </c>
      <c r="E253" s="8" t="s">
        <v>1744</v>
      </c>
      <c r="F253" s="8" t="s">
        <v>1745</v>
      </c>
      <c r="G253" s="6" t="s">
        <v>52</v>
      </c>
      <c r="H253" s="6" t="s">
        <v>53</v>
      </c>
      <c r="I253" s="8" t="s">
        <v>114</v>
      </c>
      <c r="J253" s="9">
        <v>1</v>
      </c>
      <c r="K253" s="9">
        <v>169</v>
      </c>
      <c r="L253" s="9">
        <v>2024</v>
      </c>
      <c r="M253" s="8" t="s">
        <v>1746</v>
      </c>
      <c r="N253" s="8" t="s">
        <v>56</v>
      </c>
      <c r="O253" s="8" t="s">
        <v>57</v>
      </c>
      <c r="P253" s="6" t="s">
        <v>116</v>
      </c>
      <c r="Q253" s="8" t="s">
        <v>81</v>
      </c>
      <c r="R253" s="10" t="s">
        <v>1747</v>
      </c>
      <c r="S253" s="11"/>
      <c r="T253" s="6"/>
      <c r="U253" s="27" t="str">
        <f>HYPERLINK("https://media.infra-m.ru/2079/2079632/cover/2079632.jpg", "Обложка")</f>
        <v>Обложка</v>
      </c>
      <c r="V253" s="27" t="str">
        <f>HYPERLINK("https://znanium.com/catalog/product/1843258", "Ознакомиться")</f>
        <v>Ознакомиться</v>
      </c>
      <c r="W253" s="8" t="s">
        <v>1748</v>
      </c>
      <c r="X253" s="6"/>
      <c r="Y253" s="6"/>
      <c r="Z253" s="6"/>
      <c r="AA253" s="6" t="s">
        <v>143</v>
      </c>
    </row>
    <row r="254" spans="1:27" s="4" customFormat="1" ht="51.95" customHeight="1">
      <c r="A254" s="5">
        <v>0</v>
      </c>
      <c r="B254" s="6" t="s">
        <v>1749</v>
      </c>
      <c r="C254" s="13">
        <v>2290</v>
      </c>
      <c r="D254" s="8" t="s">
        <v>1750</v>
      </c>
      <c r="E254" s="8" t="s">
        <v>1751</v>
      </c>
      <c r="F254" s="8" t="s">
        <v>1752</v>
      </c>
      <c r="G254" s="6" t="s">
        <v>37</v>
      </c>
      <c r="H254" s="6" t="s">
        <v>53</v>
      </c>
      <c r="I254" s="8" t="s">
        <v>114</v>
      </c>
      <c r="J254" s="9">
        <v>1</v>
      </c>
      <c r="K254" s="9">
        <v>546</v>
      </c>
      <c r="L254" s="9">
        <v>2023</v>
      </c>
      <c r="M254" s="8" t="s">
        <v>1753</v>
      </c>
      <c r="N254" s="8" t="s">
        <v>56</v>
      </c>
      <c r="O254" s="8" t="s">
        <v>57</v>
      </c>
      <c r="P254" s="6" t="s">
        <v>116</v>
      </c>
      <c r="Q254" s="8" t="s">
        <v>81</v>
      </c>
      <c r="R254" s="10" t="s">
        <v>1754</v>
      </c>
      <c r="S254" s="11"/>
      <c r="T254" s="6"/>
      <c r="U254" s="27" t="str">
        <f>HYPERLINK("https://media.infra-m.ru/1971/1971850/cover/1971850.jpg", "Обложка")</f>
        <v>Обложка</v>
      </c>
      <c r="V254" s="27" t="str">
        <f>HYPERLINK("https://znanium.com/catalog/product/1971850", "Ознакомиться")</f>
        <v>Ознакомиться</v>
      </c>
      <c r="W254" s="8" t="s">
        <v>1748</v>
      </c>
      <c r="X254" s="6" t="s">
        <v>92</v>
      </c>
      <c r="Y254" s="6"/>
      <c r="Z254" s="6"/>
      <c r="AA254" s="6" t="s">
        <v>93</v>
      </c>
    </row>
    <row r="255" spans="1:27" s="4" customFormat="1" ht="51.95" customHeight="1">
      <c r="A255" s="5">
        <v>0</v>
      </c>
      <c r="B255" s="6" t="s">
        <v>1755</v>
      </c>
      <c r="C255" s="7">
        <v>924</v>
      </c>
      <c r="D255" s="8" t="s">
        <v>1756</v>
      </c>
      <c r="E255" s="8" t="s">
        <v>1757</v>
      </c>
      <c r="F255" s="8" t="s">
        <v>1758</v>
      </c>
      <c r="G255" s="6" t="s">
        <v>37</v>
      </c>
      <c r="H255" s="6" t="s">
        <v>53</v>
      </c>
      <c r="I255" s="8" t="s">
        <v>165</v>
      </c>
      <c r="J255" s="9">
        <v>1</v>
      </c>
      <c r="K255" s="9">
        <v>200</v>
      </c>
      <c r="L255" s="9">
        <v>2024</v>
      </c>
      <c r="M255" s="8" t="s">
        <v>1759</v>
      </c>
      <c r="N255" s="8" t="s">
        <v>56</v>
      </c>
      <c r="O255" s="8" t="s">
        <v>57</v>
      </c>
      <c r="P255" s="6" t="s">
        <v>42</v>
      </c>
      <c r="Q255" s="8" t="s">
        <v>43</v>
      </c>
      <c r="R255" s="10" t="s">
        <v>1760</v>
      </c>
      <c r="S255" s="11" t="s">
        <v>1761</v>
      </c>
      <c r="T255" s="6"/>
      <c r="U255" s="27" t="str">
        <f>HYPERLINK("https://media.infra-m.ru/2084/2084755/cover/2084755.jpg", "Обложка")</f>
        <v>Обложка</v>
      </c>
      <c r="V255" s="27" t="str">
        <f>HYPERLINK("https://znanium.com/catalog/product/1216919", "Ознакомиться")</f>
        <v>Ознакомиться</v>
      </c>
      <c r="W255" s="8" t="s">
        <v>72</v>
      </c>
      <c r="X255" s="6"/>
      <c r="Y255" s="6"/>
      <c r="Z255" s="6"/>
      <c r="AA255" s="6" t="s">
        <v>62</v>
      </c>
    </row>
    <row r="256" spans="1:27" s="4" customFormat="1" ht="51.95" customHeight="1">
      <c r="A256" s="5">
        <v>0</v>
      </c>
      <c r="B256" s="6" t="s">
        <v>1762</v>
      </c>
      <c r="C256" s="13">
        <v>2500</v>
      </c>
      <c r="D256" s="8" t="s">
        <v>1763</v>
      </c>
      <c r="E256" s="8" t="s">
        <v>1764</v>
      </c>
      <c r="F256" s="8" t="s">
        <v>1765</v>
      </c>
      <c r="G256" s="6" t="s">
        <v>67</v>
      </c>
      <c r="H256" s="6" t="s">
        <v>53</v>
      </c>
      <c r="I256" s="8" t="s">
        <v>165</v>
      </c>
      <c r="J256" s="9">
        <v>1</v>
      </c>
      <c r="K256" s="9">
        <v>559</v>
      </c>
      <c r="L256" s="9">
        <v>2023</v>
      </c>
      <c r="M256" s="8" t="s">
        <v>1766</v>
      </c>
      <c r="N256" s="8" t="s">
        <v>56</v>
      </c>
      <c r="O256" s="8" t="s">
        <v>57</v>
      </c>
      <c r="P256" s="6" t="s">
        <v>69</v>
      </c>
      <c r="Q256" s="8" t="s">
        <v>43</v>
      </c>
      <c r="R256" s="10" t="s">
        <v>1767</v>
      </c>
      <c r="S256" s="11" t="s">
        <v>1768</v>
      </c>
      <c r="T256" s="6" t="s">
        <v>277</v>
      </c>
      <c r="U256" s="27" t="str">
        <f>HYPERLINK("https://media.infra-m.ru/1912/1912154/cover/1912154.jpg", "Обложка")</f>
        <v>Обложка</v>
      </c>
      <c r="V256" s="27" t="str">
        <f>HYPERLINK("https://znanium.com/catalog/product/1912154", "Ознакомиться")</f>
        <v>Ознакомиться</v>
      </c>
      <c r="W256" s="8" t="s">
        <v>91</v>
      </c>
      <c r="X256" s="6"/>
      <c r="Y256" s="6"/>
      <c r="Z256" s="6"/>
      <c r="AA256" s="6" t="s">
        <v>308</v>
      </c>
    </row>
    <row r="257" spans="1:27" s="4" customFormat="1" ht="51.95" customHeight="1">
      <c r="A257" s="5">
        <v>0</v>
      </c>
      <c r="B257" s="6" t="s">
        <v>1769</v>
      </c>
      <c r="C257" s="13">
        <v>1290</v>
      </c>
      <c r="D257" s="8" t="s">
        <v>1770</v>
      </c>
      <c r="E257" s="8" t="s">
        <v>1771</v>
      </c>
      <c r="F257" s="8" t="s">
        <v>1772</v>
      </c>
      <c r="G257" s="6" t="s">
        <v>67</v>
      </c>
      <c r="H257" s="6" t="s">
        <v>53</v>
      </c>
      <c r="I257" s="8" t="s">
        <v>148</v>
      </c>
      <c r="J257" s="9">
        <v>1</v>
      </c>
      <c r="K257" s="9">
        <v>272</v>
      </c>
      <c r="L257" s="9">
        <v>2023</v>
      </c>
      <c r="M257" s="8" t="s">
        <v>1773</v>
      </c>
      <c r="N257" s="8" t="s">
        <v>56</v>
      </c>
      <c r="O257" s="8" t="s">
        <v>57</v>
      </c>
      <c r="P257" s="6" t="s">
        <v>42</v>
      </c>
      <c r="Q257" s="8" t="s">
        <v>150</v>
      </c>
      <c r="R257" s="10" t="s">
        <v>285</v>
      </c>
      <c r="S257" s="11" t="s">
        <v>1774</v>
      </c>
      <c r="T257" s="6"/>
      <c r="U257" s="27" t="str">
        <f>HYPERLINK("https://media.infra-m.ru/1899/1899839/cover/1899839.jpg", "Обложка")</f>
        <v>Обложка</v>
      </c>
      <c r="V257" s="27" t="str">
        <f>HYPERLINK("https://znanium.com/catalog/product/1899839", "Ознакомиться")</f>
        <v>Ознакомиться</v>
      </c>
      <c r="W257" s="8" t="s">
        <v>1775</v>
      </c>
      <c r="X257" s="6"/>
      <c r="Y257" s="6"/>
      <c r="Z257" s="6"/>
      <c r="AA257" s="6" t="s">
        <v>288</v>
      </c>
    </row>
    <row r="258" spans="1:27" s="4" customFormat="1" ht="44.1" customHeight="1">
      <c r="A258" s="5">
        <v>0</v>
      </c>
      <c r="B258" s="6" t="s">
        <v>1776</v>
      </c>
      <c r="C258" s="7">
        <v>634</v>
      </c>
      <c r="D258" s="8" t="s">
        <v>1777</v>
      </c>
      <c r="E258" s="8" t="s">
        <v>1778</v>
      </c>
      <c r="F258" s="8" t="s">
        <v>1779</v>
      </c>
      <c r="G258" s="6" t="s">
        <v>52</v>
      </c>
      <c r="H258" s="6" t="s">
        <v>38</v>
      </c>
      <c r="I258" s="8"/>
      <c r="J258" s="9">
        <v>1</v>
      </c>
      <c r="K258" s="9">
        <v>139</v>
      </c>
      <c r="L258" s="9">
        <v>2023</v>
      </c>
      <c r="M258" s="8" t="s">
        <v>1780</v>
      </c>
      <c r="N258" s="8" t="s">
        <v>56</v>
      </c>
      <c r="O258" s="8" t="s">
        <v>57</v>
      </c>
      <c r="P258" s="6" t="s">
        <v>42</v>
      </c>
      <c r="Q258" s="8" t="s">
        <v>43</v>
      </c>
      <c r="R258" s="10" t="s">
        <v>1781</v>
      </c>
      <c r="S258" s="11"/>
      <c r="T258" s="6"/>
      <c r="U258" s="27" t="str">
        <f>HYPERLINK("https://media.infra-m.ru/2006/2006027/cover/2006027.jpg", "Обложка")</f>
        <v>Обложка</v>
      </c>
      <c r="V258" s="27" t="str">
        <f>HYPERLINK("https://znanium.com/catalog/product/1840087", "Ознакомиться")</f>
        <v>Ознакомиться</v>
      </c>
      <c r="W258" s="8" t="s">
        <v>46</v>
      </c>
      <c r="X258" s="6"/>
      <c r="Y258" s="6"/>
      <c r="Z258" s="6"/>
      <c r="AA258" s="6" t="s">
        <v>288</v>
      </c>
    </row>
    <row r="259" spans="1:27" s="4" customFormat="1" ht="51.95" customHeight="1">
      <c r="A259" s="5">
        <v>0</v>
      </c>
      <c r="B259" s="6" t="s">
        <v>1782</v>
      </c>
      <c r="C259" s="13">
        <v>1224</v>
      </c>
      <c r="D259" s="8" t="s">
        <v>1783</v>
      </c>
      <c r="E259" s="8" t="s">
        <v>1784</v>
      </c>
      <c r="F259" s="8" t="s">
        <v>1785</v>
      </c>
      <c r="G259" s="6" t="s">
        <v>52</v>
      </c>
      <c r="H259" s="6" t="s">
        <v>939</v>
      </c>
      <c r="I259" s="8" t="s">
        <v>1067</v>
      </c>
      <c r="J259" s="9">
        <v>1</v>
      </c>
      <c r="K259" s="9">
        <v>272</v>
      </c>
      <c r="L259" s="9">
        <v>2023</v>
      </c>
      <c r="M259" s="8" t="s">
        <v>1786</v>
      </c>
      <c r="N259" s="8" t="s">
        <v>56</v>
      </c>
      <c r="O259" s="8" t="s">
        <v>57</v>
      </c>
      <c r="P259" s="6" t="s">
        <v>69</v>
      </c>
      <c r="Q259" s="8" t="s">
        <v>654</v>
      </c>
      <c r="R259" s="10" t="s">
        <v>1787</v>
      </c>
      <c r="S259" s="11" t="s">
        <v>1788</v>
      </c>
      <c r="T259" s="6"/>
      <c r="U259" s="27" t="str">
        <f>HYPERLINK("https://media.infra-m.ru/1840/1840088/cover/1840088.jpg", "Обложка")</f>
        <v>Обложка</v>
      </c>
      <c r="V259" s="27" t="str">
        <f>HYPERLINK("https://znanium.com/catalog/product/1141794", "Ознакомиться")</f>
        <v>Ознакомиться</v>
      </c>
      <c r="W259" s="8" t="s">
        <v>72</v>
      </c>
      <c r="X259" s="6"/>
      <c r="Y259" s="6"/>
      <c r="Z259" s="6"/>
      <c r="AA259" s="6" t="s">
        <v>417</v>
      </c>
    </row>
    <row r="260" spans="1:27" s="4" customFormat="1" ht="42" customHeight="1">
      <c r="A260" s="5">
        <v>0</v>
      </c>
      <c r="B260" s="6" t="s">
        <v>1789</v>
      </c>
      <c r="C260" s="13">
        <v>1179.9000000000001</v>
      </c>
      <c r="D260" s="8" t="s">
        <v>1790</v>
      </c>
      <c r="E260" s="8" t="s">
        <v>1791</v>
      </c>
      <c r="F260" s="8" t="s">
        <v>1792</v>
      </c>
      <c r="G260" s="6" t="s">
        <v>37</v>
      </c>
      <c r="H260" s="6" t="s">
        <v>98</v>
      </c>
      <c r="I260" s="8" t="s">
        <v>1067</v>
      </c>
      <c r="J260" s="9">
        <v>8</v>
      </c>
      <c r="K260" s="9">
        <v>404</v>
      </c>
      <c r="L260" s="9">
        <v>2017</v>
      </c>
      <c r="M260" s="8" t="s">
        <v>1793</v>
      </c>
      <c r="N260" s="8" t="s">
        <v>56</v>
      </c>
      <c r="O260" s="8" t="s">
        <v>57</v>
      </c>
      <c r="P260" s="6" t="s">
        <v>69</v>
      </c>
      <c r="Q260" s="8" t="s">
        <v>43</v>
      </c>
      <c r="R260" s="10" t="s">
        <v>1794</v>
      </c>
      <c r="S260" s="11"/>
      <c r="T260" s="6"/>
      <c r="U260" s="27" t="str">
        <f>HYPERLINK("https://media.infra-m.ru/0752/0752442/cover/752442.jpg", "Обложка")</f>
        <v>Обложка</v>
      </c>
      <c r="V260" s="27" t="str">
        <f>HYPERLINK("https://znanium.com/catalog/product/548632", "Ознакомиться")</f>
        <v>Ознакомиться</v>
      </c>
      <c r="W260" s="8" t="s">
        <v>1069</v>
      </c>
      <c r="X260" s="6"/>
      <c r="Y260" s="6"/>
      <c r="Z260" s="6"/>
      <c r="AA260" s="6" t="s">
        <v>253</v>
      </c>
    </row>
    <row r="261" spans="1:27" s="4" customFormat="1" ht="51.95" customHeight="1">
      <c r="A261" s="5">
        <v>0</v>
      </c>
      <c r="B261" s="6" t="s">
        <v>1795</v>
      </c>
      <c r="C261" s="7">
        <v>994</v>
      </c>
      <c r="D261" s="8" t="s">
        <v>1796</v>
      </c>
      <c r="E261" s="8" t="s">
        <v>1791</v>
      </c>
      <c r="F261" s="8" t="s">
        <v>1797</v>
      </c>
      <c r="G261" s="6" t="s">
        <v>37</v>
      </c>
      <c r="H261" s="6" t="s">
        <v>53</v>
      </c>
      <c r="I261" s="8" t="s">
        <v>165</v>
      </c>
      <c r="J261" s="9">
        <v>1</v>
      </c>
      <c r="K261" s="9">
        <v>217</v>
      </c>
      <c r="L261" s="9">
        <v>2022</v>
      </c>
      <c r="M261" s="8" t="s">
        <v>1798</v>
      </c>
      <c r="N261" s="8" t="s">
        <v>56</v>
      </c>
      <c r="O261" s="8" t="s">
        <v>57</v>
      </c>
      <c r="P261" s="6" t="s">
        <v>69</v>
      </c>
      <c r="Q261" s="8" t="s">
        <v>43</v>
      </c>
      <c r="R261" s="10" t="s">
        <v>349</v>
      </c>
      <c r="S261" s="11" t="s">
        <v>1799</v>
      </c>
      <c r="T261" s="6"/>
      <c r="U261" s="27" t="str">
        <f>HYPERLINK("https://media.infra-m.ru/1852/1852226/cover/1852226.jpg", "Обложка")</f>
        <v>Обложка</v>
      </c>
      <c r="V261" s="27" t="str">
        <f>HYPERLINK("https://znanium.com/catalog/product/1081403", "Ознакомиться")</f>
        <v>Ознакомиться</v>
      </c>
      <c r="W261" s="8" t="s">
        <v>1800</v>
      </c>
      <c r="X261" s="6"/>
      <c r="Y261" s="6"/>
      <c r="Z261" s="6"/>
      <c r="AA261" s="6" t="s">
        <v>84</v>
      </c>
    </row>
    <row r="262" spans="1:27" s="4" customFormat="1" ht="44.1" customHeight="1">
      <c r="A262" s="5">
        <v>0</v>
      </c>
      <c r="B262" s="6" t="s">
        <v>1801</v>
      </c>
      <c r="C262" s="7">
        <v>824.9</v>
      </c>
      <c r="D262" s="8" t="s">
        <v>1802</v>
      </c>
      <c r="E262" s="8" t="s">
        <v>1791</v>
      </c>
      <c r="F262" s="8" t="s">
        <v>1803</v>
      </c>
      <c r="G262" s="6" t="s">
        <v>52</v>
      </c>
      <c r="H262" s="6" t="s">
        <v>239</v>
      </c>
      <c r="I262" s="8" t="s">
        <v>377</v>
      </c>
      <c r="J262" s="9">
        <v>1</v>
      </c>
      <c r="K262" s="9">
        <v>184</v>
      </c>
      <c r="L262" s="9">
        <v>2023</v>
      </c>
      <c r="M262" s="8" t="s">
        <v>1804</v>
      </c>
      <c r="N262" s="8" t="s">
        <v>56</v>
      </c>
      <c r="O262" s="8" t="s">
        <v>57</v>
      </c>
      <c r="P262" s="6" t="s">
        <v>42</v>
      </c>
      <c r="Q262" s="8" t="s">
        <v>43</v>
      </c>
      <c r="R262" s="10" t="s">
        <v>1805</v>
      </c>
      <c r="S262" s="11"/>
      <c r="T262" s="6"/>
      <c r="U262" s="27" t="str">
        <f>HYPERLINK("https://media.infra-m.ru/1911/1911198/cover/1911198.jpg", "Обложка")</f>
        <v>Обложка</v>
      </c>
      <c r="V262" s="27" t="str">
        <f>HYPERLINK("https://znanium.com/catalog/product/1181040", "Ознакомиться")</f>
        <v>Ознакомиться</v>
      </c>
      <c r="W262" s="8" t="s">
        <v>1342</v>
      </c>
      <c r="X262" s="6"/>
      <c r="Y262" s="6"/>
      <c r="Z262" s="6"/>
      <c r="AA262" s="6" t="s">
        <v>47</v>
      </c>
    </row>
    <row r="263" spans="1:27" s="4" customFormat="1" ht="51.95" customHeight="1">
      <c r="A263" s="5">
        <v>0</v>
      </c>
      <c r="B263" s="6" t="s">
        <v>1806</v>
      </c>
      <c r="C263" s="13">
        <v>1444.9</v>
      </c>
      <c r="D263" s="8" t="s">
        <v>1807</v>
      </c>
      <c r="E263" s="8" t="s">
        <v>1808</v>
      </c>
      <c r="F263" s="8" t="s">
        <v>1809</v>
      </c>
      <c r="G263" s="6" t="s">
        <v>37</v>
      </c>
      <c r="H263" s="6" t="s">
        <v>53</v>
      </c>
      <c r="I263" s="8" t="s">
        <v>165</v>
      </c>
      <c r="J263" s="9">
        <v>1</v>
      </c>
      <c r="K263" s="9">
        <v>320</v>
      </c>
      <c r="L263" s="9">
        <v>2023</v>
      </c>
      <c r="M263" s="8" t="s">
        <v>1810</v>
      </c>
      <c r="N263" s="8" t="s">
        <v>56</v>
      </c>
      <c r="O263" s="8" t="s">
        <v>57</v>
      </c>
      <c r="P263" s="6" t="s">
        <v>69</v>
      </c>
      <c r="Q263" s="8" t="s">
        <v>43</v>
      </c>
      <c r="R263" s="10" t="s">
        <v>1811</v>
      </c>
      <c r="S263" s="11" t="s">
        <v>1812</v>
      </c>
      <c r="T263" s="6"/>
      <c r="U263" s="27" t="str">
        <f>HYPERLINK("https://media.infra-m.ru/1969/1969540/cover/1969540.jpg", "Обложка")</f>
        <v>Обложка</v>
      </c>
      <c r="V263" s="27" t="str">
        <f>HYPERLINK("https://znanium.com/catalog/product/1945232", "Ознакомиться")</f>
        <v>Ознакомиться</v>
      </c>
      <c r="W263" s="8" t="s">
        <v>134</v>
      </c>
      <c r="X263" s="6"/>
      <c r="Y263" s="6"/>
      <c r="Z263" s="6"/>
      <c r="AA263" s="6" t="s">
        <v>1813</v>
      </c>
    </row>
    <row r="264" spans="1:27" s="4" customFormat="1" ht="51.95" customHeight="1">
      <c r="A264" s="5">
        <v>0</v>
      </c>
      <c r="B264" s="6" t="s">
        <v>1814</v>
      </c>
      <c r="C264" s="13">
        <v>1730</v>
      </c>
      <c r="D264" s="8" t="s">
        <v>1815</v>
      </c>
      <c r="E264" s="8" t="s">
        <v>1784</v>
      </c>
      <c r="F264" s="8" t="s">
        <v>1816</v>
      </c>
      <c r="G264" s="6" t="s">
        <v>67</v>
      </c>
      <c r="H264" s="6" t="s">
        <v>265</v>
      </c>
      <c r="I264" s="8" t="s">
        <v>1067</v>
      </c>
      <c r="J264" s="9">
        <v>1</v>
      </c>
      <c r="K264" s="9">
        <v>384</v>
      </c>
      <c r="L264" s="9">
        <v>2023</v>
      </c>
      <c r="M264" s="8" t="s">
        <v>1817</v>
      </c>
      <c r="N264" s="8" t="s">
        <v>56</v>
      </c>
      <c r="O264" s="8" t="s">
        <v>57</v>
      </c>
      <c r="P264" s="6" t="s">
        <v>42</v>
      </c>
      <c r="Q264" s="8" t="s">
        <v>654</v>
      </c>
      <c r="R264" s="10" t="s">
        <v>1818</v>
      </c>
      <c r="S264" s="11" t="s">
        <v>1819</v>
      </c>
      <c r="T264" s="6"/>
      <c r="U264" s="27" t="str">
        <f>HYPERLINK("https://media.infra-m.ru/1912/1912167/cover/1912167.jpg", "Обложка")</f>
        <v>Обложка</v>
      </c>
      <c r="V264" s="27" t="str">
        <f>HYPERLINK("https://znanium.com/catalog/product/1912167", "Ознакомиться")</f>
        <v>Ознакомиться</v>
      </c>
      <c r="W264" s="8" t="s">
        <v>46</v>
      </c>
      <c r="X264" s="6"/>
      <c r="Y264" s="6"/>
      <c r="Z264" s="6"/>
      <c r="AA264" s="6" t="s">
        <v>1820</v>
      </c>
    </row>
    <row r="265" spans="1:27" s="4" customFormat="1" ht="51.95" customHeight="1">
      <c r="A265" s="5">
        <v>0</v>
      </c>
      <c r="B265" s="6" t="s">
        <v>1821</v>
      </c>
      <c r="C265" s="7">
        <v>194.9</v>
      </c>
      <c r="D265" s="8" t="s">
        <v>1822</v>
      </c>
      <c r="E265" s="8" t="s">
        <v>1823</v>
      </c>
      <c r="F265" s="8" t="s">
        <v>1824</v>
      </c>
      <c r="G265" s="6" t="s">
        <v>52</v>
      </c>
      <c r="H265" s="6" t="s">
        <v>98</v>
      </c>
      <c r="I265" s="8"/>
      <c r="J265" s="9">
        <v>1</v>
      </c>
      <c r="K265" s="9">
        <v>90</v>
      </c>
      <c r="L265" s="9">
        <v>2020</v>
      </c>
      <c r="M265" s="8" t="s">
        <v>1825</v>
      </c>
      <c r="N265" s="8" t="s">
        <v>56</v>
      </c>
      <c r="O265" s="8" t="s">
        <v>57</v>
      </c>
      <c r="P265" s="6" t="s">
        <v>42</v>
      </c>
      <c r="Q265" s="8" t="s">
        <v>43</v>
      </c>
      <c r="R265" s="10" t="s">
        <v>1826</v>
      </c>
      <c r="S265" s="11"/>
      <c r="T265" s="6"/>
      <c r="U265" s="27" t="str">
        <f>HYPERLINK("https://media.infra-m.ru/1052/1052239/cover/1052239.jpg", "Обложка")</f>
        <v>Обложка</v>
      </c>
      <c r="V265" s="27" t="str">
        <f>HYPERLINK("https://znanium.com/catalog/product/1052239", "Ознакомиться")</f>
        <v>Ознакомиться</v>
      </c>
      <c r="W265" s="8" t="s">
        <v>1827</v>
      </c>
      <c r="X265" s="6"/>
      <c r="Y265" s="6"/>
      <c r="Z265" s="6"/>
      <c r="AA265" s="6" t="s">
        <v>1828</v>
      </c>
    </row>
    <row r="266" spans="1:27" s="4" customFormat="1" ht="51.95" customHeight="1">
      <c r="A266" s="5">
        <v>0</v>
      </c>
      <c r="B266" s="6" t="s">
        <v>1829</v>
      </c>
      <c r="C266" s="7">
        <v>974.9</v>
      </c>
      <c r="D266" s="8" t="s">
        <v>1830</v>
      </c>
      <c r="E266" s="8" t="s">
        <v>1791</v>
      </c>
      <c r="F266" s="8" t="s">
        <v>1831</v>
      </c>
      <c r="G266" s="6" t="s">
        <v>67</v>
      </c>
      <c r="H266" s="6" t="s">
        <v>53</v>
      </c>
      <c r="I266" s="8" t="s">
        <v>652</v>
      </c>
      <c r="J266" s="9">
        <v>1</v>
      </c>
      <c r="K266" s="9">
        <v>217</v>
      </c>
      <c r="L266" s="9">
        <v>2023</v>
      </c>
      <c r="M266" s="8" t="s">
        <v>1832</v>
      </c>
      <c r="N266" s="8" t="s">
        <v>56</v>
      </c>
      <c r="O266" s="8" t="s">
        <v>57</v>
      </c>
      <c r="P266" s="6" t="s">
        <v>42</v>
      </c>
      <c r="Q266" s="8" t="s">
        <v>654</v>
      </c>
      <c r="R266" s="10" t="s">
        <v>1833</v>
      </c>
      <c r="S266" s="11" t="s">
        <v>1834</v>
      </c>
      <c r="T266" s="6"/>
      <c r="U266" s="27" t="str">
        <f>HYPERLINK("https://media.infra-m.ru/1976/1976159/cover/1976159.jpg", "Обложка")</f>
        <v>Обложка</v>
      </c>
      <c r="V266" s="27" t="str">
        <f>HYPERLINK("https://znanium.com/catalog/product/1018905", "Ознакомиться")</f>
        <v>Ознакомиться</v>
      </c>
      <c r="W266" s="8" t="s">
        <v>1800</v>
      </c>
      <c r="X266" s="6"/>
      <c r="Y266" s="6"/>
      <c r="Z266" s="6" t="s">
        <v>657</v>
      </c>
      <c r="AA266" s="6" t="s">
        <v>510</v>
      </c>
    </row>
    <row r="267" spans="1:27" s="4" customFormat="1" ht="51.95" customHeight="1">
      <c r="A267" s="5">
        <v>0</v>
      </c>
      <c r="B267" s="6" t="s">
        <v>1835</v>
      </c>
      <c r="C267" s="13">
        <v>1180</v>
      </c>
      <c r="D267" s="8" t="s">
        <v>1836</v>
      </c>
      <c r="E267" s="8" t="s">
        <v>1791</v>
      </c>
      <c r="F267" s="8" t="s">
        <v>1837</v>
      </c>
      <c r="G267" s="6" t="s">
        <v>67</v>
      </c>
      <c r="H267" s="6" t="s">
        <v>53</v>
      </c>
      <c r="I267" s="8" t="s">
        <v>54</v>
      </c>
      <c r="J267" s="9">
        <v>1</v>
      </c>
      <c r="K267" s="9">
        <v>256</v>
      </c>
      <c r="L267" s="9">
        <v>2024</v>
      </c>
      <c r="M267" s="8" t="s">
        <v>1838</v>
      </c>
      <c r="N267" s="8" t="s">
        <v>56</v>
      </c>
      <c r="O267" s="8" t="s">
        <v>57</v>
      </c>
      <c r="P267" s="6" t="s">
        <v>42</v>
      </c>
      <c r="Q267" s="8" t="s">
        <v>58</v>
      </c>
      <c r="R267" s="10" t="s">
        <v>1839</v>
      </c>
      <c r="S267" s="11" t="s">
        <v>1840</v>
      </c>
      <c r="T267" s="6" t="s">
        <v>277</v>
      </c>
      <c r="U267" s="27" t="str">
        <f>HYPERLINK("https://media.infra-m.ru/2065/2065555/cover/2065555.jpg", "Обложка")</f>
        <v>Обложка</v>
      </c>
      <c r="V267" s="27" t="str">
        <f>HYPERLINK("https://znanium.com/catalog/product/2065555", "Ознакомиться")</f>
        <v>Ознакомиться</v>
      </c>
      <c r="W267" s="8" t="s">
        <v>1800</v>
      </c>
      <c r="X267" s="6"/>
      <c r="Y267" s="6"/>
      <c r="Z267" s="6"/>
      <c r="AA267" s="6" t="s">
        <v>253</v>
      </c>
    </row>
    <row r="268" spans="1:27" s="4" customFormat="1" ht="51.95" customHeight="1">
      <c r="A268" s="5">
        <v>0</v>
      </c>
      <c r="B268" s="6" t="s">
        <v>1841</v>
      </c>
      <c r="C268" s="7">
        <v>124.9</v>
      </c>
      <c r="D268" s="8" t="s">
        <v>1842</v>
      </c>
      <c r="E268" s="8" t="s">
        <v>1791</v>
      </c>
      <c r="F268" s="8"/>
      <c r="G268" s="6" t="s">
        <v>1843</v>
      </c>
      <c r="H268" s="6" t="s">
        <v>98</v>
      </c>
      <c r="I268" s="8" t="s">
        <v>297</v>
      </c>
      <c r="J268" s="9">
        <v>1</v>
      </c>
      <c r="K268" s="9">
        <v>80</v>
      </c>
      <c r="L268" s="9">
        <v>2017</v>
      </c>
      <c r="M268" s="8" t="s">
        <v>1844</v>
      </c>
      <c r="N268" s="8" t="s">
        <v>56</v>
      </c>
      <c r="O268" s="8" t="s">
        <v>57</v>
      </c>
      <c r="P268" s="6" t="s">
        <v>299</v>
      </c>
      <c r="Q268" s="8" t="s">
        <v>43</v>
      </c>
      <c r="R268" s="10" t="s">
        <v>1845</v>
      </c>
      <c r="S268" s="11"/>
      <c r="T268" s="6"/>
      <c r="U268" s="12"/>
      <c r="V268" s="27" t="str">
        <f>HYPERLINK("https://znanium.com/catalog/product/244529", "Ознакомиться")</f>
        <v>Ознакомиться</v>
      </c>
      <c r="W268" s="8"/>
      <c r="X268" s="6"/>
      <c r="Y268" s="6"/>
      <c r="Z268" s="6"/>
      <c r="AA268" s="6" t="s">
        <v>548</v>
      </c>
    </row>
    <row r="269" spans="1:27" s="4" customFormat="1" ht="51.95" customHeight="1">
      <c r="A269" s="5">
        <v>0</v>
      </c>
      <c r="B269" s="6" t="s">
        <v>1846</v>
      </c>
      <c r="C269" s="7">
        <v>640</v>
      </c>
      <c r="D269" s="8" t="s">
        <v>1847</v>
      </c>
      <c r="E269" s="8" t="s">
        <v>1848</v>
      </c>
      <c r="F269" s="8" t="s">
        <v>1849</v>
      </c>
      <c r="G269" s="6" t="s">
        <v>52</v>
      </c>
      <c r="H269" s="6" t="s">
        <v>53</v>
      </c>
      <c r="I269" s="8" t="s">
        <v>114</v>
      </c>
      <c r="J269" s="9">
        <v>1</v>
      </c>
      <c r="K269" s="9">
        <v>172</v>
      </c>
      <c r="L269" s="9">
        <v>2021</v>
      </c>
      <c r="M269" s="8" t="s">
        <v>1850</v>
      </c>
      <c r="N269" s="8" t="s">
        <v>56</v>
      </c>
      <c r="O269" s="8" t="s">
        <v>57</v>
      </c>
      <c r="P269" s="6" t="s">
        <v>116</v>
      </c>
      <c r="Q269" s="8" t="s">
        <v>81</v>
      </c>
      <c r="R269" s="10" t="s">
        <v>1851</v>
      </c>
      <c r="S269" s="11"/>
      <c r="T269" s="6"/>
      <c r="U269" s="27" t="str">
        <f>HYPERLINK("https://media.infra-m.ru/1223/1223199/cover/1223199.jpg", "Обложка")</f>
        <v>Обложка</v>
      </c>
      <c r="V269" s="27" t="str">
        <f>HYPERLINK("https://znanium.com/catalog/product/1223199", "Ознакомиться")</f>
        <v>Ознакомиться</v>
      </c>
      <c r="W269" s="8" t="s">
        <v>487</v>
      </c>
      <c r="X269" s="6"/>
      <c r="Y269" s="6"/>
      <c r="Z269" s="6"/>
      <c r="AA269" s="6" t="s">
        <v>308</v>
      </c>
    </row>
    <row r="270" spans="1:27" s="4" customFormat="1" ht="51.95" customHeight="1">
      <c r="A270" s="5">
        <v>0</v>
      </c>
      <c r="B270" s="6" t="s">
        <v>1852</v>
      </c>
      <c r="C270" s="13">
        <v>1840</v>
      </c>
      <c r="D270" s="8" t="s">
        <v>1853</v>
      </c>
      <c r="E270" s="8" t="s">
        <v>1854</v>
      </c>
      <c r="F270" s="8" t="s">
        <v>1855</v>
      </c>
      <c r="G270" s="6" t="s">
        <v>67</v>
      </c>
      <c r="H270" s="6" t="s">
        <v>53</v>
      </c>
      <c r="I270" s="8" t="s">
        <v>54</v>
      </c>
      <c r="J270" s="9">
        <v>1</v>
      </c>
      <c r="K270" s="9">
        <v>399</v>
      </c>
      <c r="L270" s="9">
        <v>2024</v>
      </c>
      <c r="M270" s="8" t="s">
        <v>1856</v>
      </c>
      <c r="N270" s="8" t="s">
        <v>56</v>
      </c>
      <c r="O270" s="8" t="s">
        <v>57</v>
      </c>
      <c r="P270" s="6" t="s">
        <v>69</v>
      </c>
      <c r="Q270" s="8" t="s">
        <v>43</v>
      </c>
      <c r="R270" s="10" t="s">
        <v>300</v>
      </c>
      <c r="S270" s="11" t="s">
        <v>1857</v>
      </c>
      <c r="T270" s="6"/>
      <c r="U270" s="27" t="str">
        <f>HYPERLINK("https://media.infra-m.ru/2062/2062327/cover/2062327.jpg", "Обложка")</f>
        <v>Обложка</v>
      </c>
      <c r="V270" s="27" t="str">
        <f>HYPERLINK("https://znanium.com/catalog/product/2062327", "Ознакомиться")</f>
        <v>Ознакомиться</v>
      </c>
      <c r="W270" s="8" t="s">
        <v>1858</v>
      </c>
      <c r="X270" s="6"/>
      <c r="Y270" s="6"/>
      <c r="Z270" s="6"/>
      <c r="AA270" s="6" t="s">
        <v>143</v>
      </c>
    </row>
    <row r="271" spans="1:27" s="4" customFormat="1" ht="42" customHeight="1">
      <c r="A271" s="5">
        <v>0</v>
      </c>
      <c r="B271" s="6" t="s">
        <v>1859</v>
      </c>
      <c r="C271" s="13">
        <v>1274</v>
      </c>
      <c r="D271" s="8" t="s">
        <v>1860</v>
      </c>
      <c r="E271" s="8" t="s">
        <v>1861</v>
      </c>
      <c r="F271" s="8" t="s">
        <v>1862</v>
      </c>
      <c r="G271" s="6" t="s">
        <v>52</v>
      </c>
      <c r="H271" s="6" t="s">
        <v>53</v>
      </c>
      <c r="I271" s="8" t="s">
        <v>114</v>
      </c>
      <c r="J271" s="9">
        <v>1</v>
      </c>
      <c r="K271" s="9">
        <v>282</v>
      </c>
      <c r="L271" s="9">
        <v>2023</v>
      </c>
      <c r="M271" s="8" t="s">
        <v>1863</v>
      </c>
      <c r="N271" s="8" t="s">
        <v>56</v>
      </c>
      <c r="O271" s="8" t="s">
        <v>57</v>
      </c>
      <c r="P271" s="6" t="s">
        <v>116</v>
      </c>
      <c r="Q271" s="8" t="s">
        <v>81</v>
      </c>
      <c r="R271" s="10" t="s">
        <v>1864</v>
      </c>
      <c r="S271" s="11"/>
      <c r="T271" s="6"/>
      <c r="U271" s="27" t="str">
        <f>HYPERLINK("https://media.infra-m.ru/2006/2006897/cover/2006897.jpg", "Обложка")</f>
        <v>Обложка</v>
      </c>
      <c r="V271" s="27" t="str">
        <f>HYPERLINK("https://znanium.com/catalog/product/971769", "Ознакомиться")</f>
        <v>Ознакомиться</v>
      </c>
      <c r="W271" s="8" t="s">
        <v>742</v>
      </c>
      <c r="X271" s="6"/>
      <c r="Y271" s="6"/>
      <c r="Z271" s="6"/>
      <c r="AA271" s="6" t="s">
        <v>510</v>
      </c>
    </row>
    <row r="272" spans="1:27" s="4" customFormat="1" ht="51.95" customHeight="1">
      <c r="A272" s="5">
        <v>0</v>
      </c>
      <c r="B272" s="6" t="s">
        <v>1865</v>
      </c>
      <c r="C272" s="13">
        <v>1500</v>
      </c>
      <c r="D272" s="8" t="s">
        <v>1866</v>
      </c>
      <c r="E272" s="8" t="s">
        <v>1867</v>
      </c>
      <c r="F272" s="8" t="s">
        <v>1868</v>
      </c>
      <c r="G272" s="6" t="s">
        <v>37</v>
      </c>
      <c r="H272" s="6" t="s">
        <v>53</v>
      </c>
      <c r="I272" s="8" t="s">
        <v>148</v>
      </c>
      <c r="J272" s="9">
        <v>1</v>
      </c>
      <c r="K272" s="9">
        <v>514</v>
      </c>
      <c r="L272" s="9">
        <v>2018</v>
      </c>
      <c r="M272" s="8" t="s">
        <v>1869</v>
      </c>
      <c r="N272" s="8" t="s">
        <v>56</v>
      </c>
      <c r="O272" s="8" t="s">
        <v>57</v>
      </c>
      <c r="P272" s="6" t="s">
        <v>69</v>
      </c>
      <c r="Q272" s="8" t="s">
        <v>150</v>
      </c>
      <c r="R272" s="10" t="s">
        <v>1870</v>
      </c>
      <c r="S272" s="11" t="s">
        <v>1871</v>
      </c>
      <c r="T272" s="6"/>
      <c r="U272" s="27" t="str">
        <f>HYPERLINK("https://media.infra-m.ru/0872/0872356/cover/872356.jpg", "Обложка")</f>
        <v>Обложка</v>
      </c>
      <c r="V272" s="27" t="str">
        <f>HYPERLINK("https://znanium.com/catalog/product/2013668", "Ознакомиться")</f>
        <v>Ознакомиться</v>
      </c>
      <c r="W272" s="8" t="s">
        <v>91</v>
      </c>
      <c r="X272" s="6"/>
      <c r="Y272" s="6"/>
      <c r="Z272" s="6"/>
      <c r="AA272" s="6" t="s">
        <v>288</v>
      </c>
    </row>
    <row r="273" spans="1:27" s="4" customFormat="1" ht="51.95" customHeight="1">
      <c r="A273" s="5">
        <v>0</v>
      </c>
      <c r="B273" s="6" t="s">
        <v>1872</v>
      </c>
      <c r="C273" s="13">
        <v>1344</v>
      </c>
      <c r="D273" s="8" t="s">
        <v>1873</v>
      </c>
      <c r="E273" s="8" t="s">
        <v>1874</v>
      </c>
      <c r="F273" s="8" t="s">
        <v>1875</v>
      </c>
      <c r="G273" s="6" t="s">
        <v>67</v>
      </c>
      <c r="H273" s="6" t="s">
        <v>38</v>
      </c>
      <c r="I273" s="8" t="s">
        <v>414</v>
      </c>
      <c r="J273" s="9">
        <v>1</v>
      </c>
      <c r="K273" s="9">
        <v>296</v>
      </c>
      <c r="L273" s="9">
        <v>2023</v>
      </c>
      <c r="M273" s="8" t="s">
        <v>1876</v>
      </c>
      <c r="N273" s="8" t="s">
        <v>56</v>
      </c>
      <c r="O273" s="8" t="s">
        <v>57</v>
      </c>
      <c r="P273" s="6" t="s">
        <v>42</v>
      </c>
      <c r="Q273" s="8" t="s">
        <v>150</v>
      </c>
      <c r="R273" s="10" t="s">
        <v>184</v>
      </c>
      <c r="S273" s="11" t="s">
        <v>1877</v>
      </c>
      <c r="T273" s="6"/>
      <c r="U273" s="27" t="str">
        <f>HYPERLINK("https://media.infra-m.ru/2006/2006855/cover/2006855.jpg", "Обложка")</f>
        <v>Обложка</v>
      </c>
      <c r="V273" s="27" t="str">
        <f>HYPERLINK("https://znanium.com/catalog/product/948489", "Ознакомиться")</f>
        <v>Ознакомиться</v>
      </c>
      <c r="W273" s="8" t="s">
        <v>46</v>
      </c>
      <c r="X273" s="6"/>
      <c r="Y273" s="6"/>
      <c r="Z273" s="6"/>
      <c r="AA273" s="6" t="s">
        <v>73</v>
      </c>
    </row>
    <row r="274" spans="1:27" s="4" customFormat="1" ht="51.95" customHeight="1">
      <c r="A274" s="5">
        <v>0</v>
      </c>
      <c r="B274" s="6" t="s">
        <v>1878</v>
      </c>
      <c r="C274" s="13">
        <v>2094.9</v>
      </c>
      <c r="D274" s="8" t="s">
        <v>1879</v>
      </c>
      <c r="E274" s="8" t="s">
        <v>1880</v>
      </c>
      <c r="F274" s="8" t="s">
        <v>1881</v>
      </c>
      <c r="G274" s="6" t="s">
        <v>37</v>
      </c>
      <c r="H274" s="6" t="s">
        <v>239</v>
      </c>
      <c r="I274" s="8"/>
      <c r="J274" s="9">
        <v>1</v>
      </c>
      <c r="K274" s="9">
        <v>605</v>
      </c>
      <c r="L274" s="9">
        <v>2022</v>
      </c>
      <c r="M274" s="8" t="s">
        <v>1882</v>
      </c>
      <c r="N274" s="8" t="s">
        <v>56</v>
      </c>
      <c r="O274" s="8" t="s">
        <v>57</v>
      </c>
      <c r="P274" s="6" t="s">
        <v>42</v>
      </c>
      <c r="Q274" s="8" t="s">
        <v>58</v>
      </c>
      <c r="R274" s="10" t="s">
        <v>1883</v>
      </c>
      <c r="S274" s="11" t="s">
        <v>1884</v>
      </c>
      <c r="T274" s="6"/>
      <c r="U274" s="27" t="str">
        <f>HYPERLINK("https://media.infra-m.ru/1838/1838852/cover/1838852.jpg", "Обложка")</f>
        <v>Обложка</v>
      </c>
      <c r="V274" s="27" t="str">
        <f>HYPERLINK("https://znanium.com/catalog/product/1838852", "Ознакомиться")</f>
        <v>Ознакомиться</v>
      </c>
      <c r="W274" s="8" t="s">
        <v>1748</v>
      </c>
      <c r="X274" s="6"/>
      <c r="Y274" s="6"/>
      <c r="Z274" s="6"/>
      <c r="AA274" s="6" t="s">
        <v>540</v>
      </c>
    </row>
    <row r="275" spans="1:27" s="4" customFormat="1" ht="42" customHeight="1">
      <c r="A275" s="5">
        <v>0</v>
      </c>
      <c r="B275" s="6" t="s">
        <v>1885</v>
      </c>
      <c r="C275" s="13">
        <v>1480</v>
      </c>
      <c r="D275" s="8" t="s">
        <v>1886</v>
      </c>
      <c r="E275" s="8" t="s">
        <v>1887</v>
      </c>
      <c r="F275" s="8" t="s">
        <v>1888</v>
      </c>
      <c r="G275" s="6" t="s">
        <v>52</v>
      </c>
      <c r="H275" s="6" t="s">
        <v>53</v>
      </c>
      <c r="I275" s="8" t="s">
        <v>114</v>
      </c>
      <c r="J275" s="9">
        <v>1</v>
      </c>
      <c r="K275" s="9">
        <v>306</v>
      </c>
      <c r="L275" s="9">
        <v>2023</v>
      </c>
      <c r="M275" s="8" t="s">
        <v>1889</v>
      </c>
      <c r="N275" s="8" t="s">
        <v>56</v>
      </c>
      <c r="O275" s="8" t="s">
        <v>57</v>
      </c>
      <c r="P275" s="6" t="s">
        <v>116</v>
      </c>
      <c r="Q275" s="8" t="s">
        <v>81</v>
      </c>
      <c r="R275" s="10" t="s">
        <v>1890</v>
      </c>
      <c r="S275" s="11"/>
      <c r="T275" s="6"/>
      <c r="U275" s="27" t="str">
        <f>HYPERLINK("https://media.infra-m.ru/1995/1995257/cover/1995257.jpg", "Обложка")</f>
        <v>Обложка</v>
      </c>
      <c r="V275" s="27" t="str">
        <f>HYPERLINK("https://znanium.com/catalog/product/1995257", "Ознакомиться")</f>
        <v>Ознакомиться</v>
      </c>
      <c r="W275" s="8" t="s">
        <v>287</v>
      </c>
      <c r="X275" s="6"/>
      <c r="Y275" s="6"/>
      <c r="Z275" s="6"/>
      <c r="AA275" s="6" t="s">
        <v>1214</v>
      </c>
    </row>
    <row r="276" spans="1:27" s="4" customFormat="1" ht="51.95" customHeight="1">
      <c r="A276" s="5">
        <v>0</v>
      </c>
      <c r="B276" s="6" t="s">
        <v>1891</v>
      </c>
      <c r="C276" s="7">
        <v>864.9</v>
      </c>
      <c r="D276" s="8" t="s">
        <v>1892</v>
      </c>
      <c r="E276" s="8" t="s">
        <v>1893</v>
      </c>
      <c r="F276" s="8" t="s">
        <v>1894</v>
      </c>
      <c r="G276" s="6" t="s">
        <v>67</v>
      </c>
      <c r="H276" s="6" t="s">
        <v>53</v>
      </c>
      <c r="I276" s="8" t="s">
        <v>165</v>
      </c>
      <c r="J276" s="9">
        <v>1</v>
      </c>
      <c r="K276" s="9">
        <v>193</v>
      </c>
      <c r="L276" s="9">
        <v>2023</v>
      </c>
      <c r="M276" s="8" t="s">
        <v>1895</v>
      </c>
      <c r="N276" s="8" t="s">
        <v>56</v>
      </c>
      <c r="O276" s="8" t="s">
        <v>57</v>
      </c>
      <c r="P276" s="6" t="s">
        <v>42</v>
      </c>
      <c r="Q276" s="8" t="s">
        <v>43</v>
      </c>
      <c r="R276" s="10" t="s">
        <v>1896</v>
      </c>
      <c r="S276" s="11" t="s">
        <v>1897</v>
      </c>
      <c r="T276" s="6"/>
      <c r="U276" s="27" t="str">
        <f>HYPERLINK("https://media.infra-m.ru/1974/1974381/cover/1974381.jpg", "Обложка")</f>
        <v>Обложка</v>
      </c>
      <c r="V276" s="27" t="str">
        <f>HYPERLINK("https://znanium.com/catalog/product/1855503", "Ознакомиться")</f>
        <v>Ознакомиться</v>
      </c>
      <c r="W276" s="8" t="s">
        <v>109</v>
      </c>
      <c r="X276" s="6"/>
      <c r="Y276" s="6"/>
      <c r="Z276" s="6"/>
      <c r="AA276" s="6" t="s">
        <v>73</v>
      </c>
    </row>
    <row r="277" spans="1:27" s="4" customFormat="1" ht="51.95" customHeight="1">
      <c r="A277" s="5">
        <v>0</v>
      </c>
      <c r="B277" s="6" t="s">
        <v>1898</v>
      </c>
      <c r="C277" s="13">
        <v>1444.9</v>
      </c>
      <c r="D277" s="8" t="s">
        <v>1899</v>
      </c>
      <c r="E277" s="8" t="s">
        <v>1900</v>
      </c>
      <c r="F277" s="8" t="s">
        <v>1901</v>
      </c>
      <c r="G277" s="6" t="s">
        <v>37</v>
      </c>
      <c r="H277" s="6" t="s">
        <v>867</v>
      </c>
      <c r="I277" s="8"/>
      <c r="J277" s="9">
        <v>1</v>
      </c>
      <c r="K277" s="9">
        <v>544</v>
      </c>
      <c r="L277" s="9">
        <v>2023</v>
      </c>
      <c r="M277" s="8" t="s">
        <v>1902</v>
      </c>
      <c r="N277" s="8" t="s">
        <v>56</v>
      </c>
      <c r="O277" s="8" t="s">
        <v>57</v>
      </c>
      <c r="P277" s="6" t="s">
        <v>69</v>
      </c>
      <c r="Q277" s="8" t="s">
        <v>43</v>
      </c>
      <c r="R277" s="10" t="s">
        <v>1903</v>
      </c>
      <c r="S277" s="11" t="s">
        <v>1904</v>
      </c>
      <c r="T277" s="6"/>
      <c r="U277" s="27" t="str">
        <f>HYPERLINK("https://media.infra-m.ru/1911/1911751/cover/1911751.jpg", "Обложка")</f>
        <v>Обложка</v>
      </c>
      <c r="V277" s="27" t="str">
        <f>HYPERLINK("https://znanium.com/catalog/product/915561", "Ознакомиться")</f>
        <v>Ознакомиться</v>
      </c>
      <c r="W277" s="8" t="s">
        <v>307</v>
      </c>
      <c r="X277" s="6"/>
      <c r="Y277" s="6"/>
      <c r="Z277" s="6"/>
      <c r="AA277" s="6" t="s">
        <v>308</v>
      </c>
    </row>
    <row r="278" spans="1:27" s="4" customFormat="1" ht="51.95" customHeight="1">
      <c r="A278" s="5">
        <v>0</v>
      </c>
      <c r="B278" s="6" t="s">
        <v>1905</v>
      </c>
      <c r="C278" s="13">
        <v>2094</v>
      </c>
      <c r="D278" s="8" t="s">
        <v>1906</v>
      </c>
      <c r="E278" s="8" t="s">
        <v>1907</v>
      </c>
      <c r="F278" s="8" t="s">
        <v>1908</v>
      </c>
      <c r="G278" s="6" t="s">
        <v>37</v>
      </c>
      <c r="H278" s="6" t="s">
        <v>867</v>
      </c>
      <c r="I278" s="8" t="s">
        <v>54</v>
      </c>
      <c r="J278" s="9">
        <v>1</v>
      </c>
      <c r="K278" s="9">
        <v>461</v>
      </c>
      <c r="L278" s="9">
        <v>2024</v>
      </c>
      <c r="M278" s="8" t="s">
        <v>1909</v>
      </c>
      <c r="N278" s="8" t="s">
        <v>56</v>
      </c>
      <c r="O278" s="8" t="s">
        <v>57</v>
      </c>
      <c r="P278" s="6" t="s">
        <v>42</v>
      </c>
      <c r="Q278" s="8" t="s">
        <v>43</v>
      </c>
      <c r="R278" s="10" t="s">
        <v>1910</v>
      </c>
      <c r="S278" s="11" t="s">
        <v>1911</v>
      </c>
      <c r="T278" s="6"/>
      <c r="U278" s="27" t="str">
        <f>HYPERLINK("https://media.infra-m.ru/2061/2061199/cover/2061199.jpg", "Обложка")</f>
        <v>Обложка</v>
      </c>
      <c r="V278" s="27" t="str">
        <f>HYPERLINK("https://znanium.com/catalog/product/1838403", "Ознакомиться")</f>
        <v>Ознакомиться</v>
      </c>
      <c r="W278" s="8" t="s">
        <v>287</v>
      </c>
      <c r="X278" s="6"/>
      <c r="Y278" s="6"/>
      <c r="Z278" s="6"/>
      <c r="AA278" s="6" t="s">
        <v>1828</v>
      </c>
    </row>
    <row r="279" spans="1:27" s="4" customFormat="1" ht="51.95" customHeight="1">
      <c r="A279" s="5">
        <v>0</v>
      </c>
      <c r="B279" s="6" t="s">
        <v>1912</v>
      </c>
      <c r="C279" s="13">
        <v>1584.9</v>
      </c>
      <c r="D279" s="8" t="s">
        <v>1913</v>
      </c>
      <c r="E279" s="8" t="s">
        <v>1914</v>
      </c>
      <c r="F279" s="8" t="s">
        <v>1915</v>
      </c>
      <c r="G279" s="6" t="s">
        <v>67</v>
      </c>
      <c r="H279" s="6" t="s">
        <v>53</v>
      </c>
      <c r="I279" s="8" t="s">
        <v>148</v>
      </c>
      <c r="J279" s="9">
        <v>1</v>
      </c>
      <c r="K279" s="9">
        <v>352</v>
      </c>
      <c r="L279" s="9">
        <v>2023</v>
      </c>
      <c r="M279" s="8" t="s">
        <v>1916</v>
      </c>
      <c r="N279" s="8" t="s">
        <v>56</v>
      </c>
      <c r="O279" s="8" t="s">
        <v>57</v>
      </c>
      <c r="P279" s="6" t="s">
        <v>69</v>
      </c>
      <c r="Q279" s="8" t="s">
        <v>150</v>
      </c>
      <c r="R279" s="10" t="s">
        <v>1917</v>
      </c>
      <c r="S279" s="11" t="s">
        <v>1918</v>
      </c>
      <c r="T279" s="6"/>
      <c r="U279" s="27" t="str">
        <f>HYPERLINK("https://media.infra-m.ru/1941/1941729/cover/1941729.jpg", "Обложка")</f>
        <v>Обложка</v>
      </c>
      <c r="V279" s="27" t="str">
        <f>HYPERLINK("https://znanium.com/catalog/product/1931499", "Ознакомиться")</f>
        <v>Ознакомиться</v>
      </c>
      <c r="W279" s="8" t="s">
        <v>1919</v>
      </c>
      <c r="X279" s="6"/>
      <c r="Y279" s="6"/>
      <c r="Z279" s="6"/>
      <c r="AA279" s="6" t="s">
        <v>1335</v>
      </c>
    </row>
    <row r="280" spans="1:27" s="4" customFormat="1" ht="51.95" customHeight="1">
      <c r="A280" s="5">
        <v>0</v>
      </c>
      <c r="B280" s="6" t="s">
        <v>1920</v>
      </c>
      <c r="C280" s="7">
        <v>784.9</v>
      </c>
      <c r="D280" s="8" t="s">
        <v>1921</v>
      </c>
      <c r="E280" s="8" t="s">
        <v>1922</v>
      </c>
      <c r="F280" s="8" t="s">
        <v>1923</v>
      </c>
      <c r="G280" s="6" t="s">
        <v>37</v>
      </c>
      <c r="H280" s="6" t="s">
        <v>98</v>
      </c>
      <c r="I280" s="8" t="s">
        <v>165</v>
      </c>
      <c r="J280" s="9">
        <v>1</v>
      </c>
      <c r="K280" s="9">
        <v>175</v>
      </c>
      <c r="L280" s="9">
        <v>2023</v>
      </c>
      <c r="M280" s="8" t="s">
        <v>1924</v>
      </c>
      <c r="N280" s="8" t="s">
        <v>56</v>
      </c>
      <c r="O280" s="8" t="s">
        <v>57</v>
      </c>
      <c r="P280" s="6" t="s">
        <v>42</v>
      </c>
      <c r="Q280" s="8" t="s">
        <v>43</v>
      </c>
      <c r="R280" s="10" t="s">
        <v>1925</v>
      </c>
      <c r="S280" s="11" t="s">
        <v>1926</v>
      </c>
      <c r="T280" s="6"/>
      <c r="U280" s="27" t="str">
        <f>HYPERLINK("https://media.infra-m.ru/1914/1914098/cover/1914098.jpg", "Обложка")</f>
        <v>Обложка</v>
      </c>
      <c r="V280" s="27" t="str">
        <f>HYPERLINK("https://znanium.com/catalog/product/961744", "Ознакомиться")</f>
        <v>Ознакомиться</v>
      </c>
      <c r="W280" s="8" t="s">
        <v>1927</v>
      </c>
      <c r="X280" s="6"/>
      <c r="Y280" s="6"/>
      <c r="Z280" s="6"/>
      <c r="AA280" s="6" t="s">
        <v>540</v>
      </c>
    </row>
    <row r="281" spans="1:27" s="4" customFormat="1" ht="51.95" customHeight="1">
      <c r="A281" s="5">
        <v>0</v>
      </c>
      <c r="B281" s="6" t="s">
        <v>1928</v>
      </c>
      <c r="C281" s="13">
        <v>1280</v>
      </c>
      <c r="D281" s="8" t="s">
        <v>1929</v>
      </c>
      <c r="E281" s="8" t="s">
        <v>1930</v>
      </c>
      <c r="F281" s="8" t="s">
        <v>1931</v>
      </c>
      <c r="G281" s="6" t="s">
        <v>67</v>
      </c>
      <c r="H281" s="6" t="s">
        <v>53</v>
      </c>
      <c r="I281" s="8" t="s">
        <v>165</v>
      </c>
      <c r="J281" s="9">
        <v>1</v>
      </c>
      <c r="K281" s="9">
        <v>284</v>
      </c>
      <c r="L281" s="9">
        <v>2022</v>
      </c>
      <c r="M281" s="8" t="s">
        <v>1932</v>
      </c>
      <c r="N281" s="8" t="s">
        <v>56</v>
      </c>
      <c r="O281" s="8" t="s">
        <v>57</v>
      </c>
      <c r="P281" s="6" t="s">
        <v>42</v>
      </c>
      <c r="Q281" s="8" t="s">
        <v>43</v>
      </c>
      <c r="R281" s="10" t="s">
        <v>1933</v>
      </c>
      <c r="S281" s="11" t="s">
        <v>1934</v>
      </c>
      <c r="T281" s="6"/>
      <c r="U281" s="27" t="str">
        <f>HYPERLINK("https://media.infra-m.ru/1872/1872351/cover/1872351.jpg", "Обложка")</f>
        <v>Обложка</v>
      </c>
      <c r="V281" s="27" t="str">
        <f>HYPERLINK("https://znanium.com/catalog/product/1872351", "Ознакомиться")</f>
        <v>Ознакомиться</v>
      </c>
      <c r="W281" s="8" t="s">
        <v>1935</v>
      </c>
      <c r="X281" s="6"/>
      <c r="Y281" s="6"/>
      <c r="Z281" s="6"/>
      <c r="AA281" s="6" t="s">
        <v>365</v>
      </c>
    </row>
    <row r="282" spans="1:27" s="4" customFormat="1" ht="51.95" customHeight="1">
      <c r="A282" s="5">
        <v>0</v>
      </c>
      <c r="B282" s="6" t="s">
        <v>1936</v>
      </c>
      <c r="C282" s="13">
        <v>1274.9000000000001</v>
      </c>
      <c r="D282" s="8" t="s">
        <v>1937</v>
      </c>
      <c r="E282" s="8" t="s">
        <v>1930</v>
      </c>
      <c r="F282" s="8" t="s">
        <v>1931</v>
      </c>
      <c r="G282" s="6" t="s">
        <v>67</v>
      </c>
      <c r="H282" s="6" t="s">
        <v>53</v>
      </c>
      <c r="I282" s="8" t="s">
        <v>652</v>
      </c>
      <c r="J282" s="9">
        <v>1</v>
      </c>
      <c r="K282" s="9">
        <v>284</v>
      </c>
      <c r="L282" s="9">
        <v>2023</v>
      </c>
      <c r="M282" s="8" t="s">
        <v>1938</v>
      </c>
      <c r="N282" s="8" t="s">
        <v>56</v>
      </c>
      <c r="O282" s="8" t="s">
        <v>57</v>
      </c>
      <c r="P282" s="6" t="s">
        <v>42</v>
      </c>
      <c r="Q282" s="8" t="s">
        <v>654</v>
      </c>
      <c r="R282" s="10" t="s">
        <v>1939</v>
      </c>
      <c r="S282" s="11" t="s">
        <v>1940</v>
      </c>
      <c r="T282" s="6"/>
      <c r="U282" s="27" t="str">
        <f>HYPERLINK("https://media.infra-m.ru/1965/1965756/cover/1965756.jpg", "Обложка")</f>
        <v>Обложка</v>
      </c>
      <c r="V282" s="27" t="str">
        <f>HYPERLINK("https://znanium.com/catalog/product/1141790", "Ознакомиться")</f>
        <v>Ознакомиться</v>
      </c>
      <c r="W282" s="8" t="s">
        <v>1935</v>
      </c>
      <c r="X282" s="6"/>
      <c r="Y282" s="6"/>
      <c r="Z282" s="6" t="s">
        <v>657</v>
      </c>
      <c r="AA282" s="6" t="s">
        <v>658</v>
      </c>
    </row>
    <row r="283" spans="1:27" s="4" customFormat="1" ht="51.95" customHeight="1">
      <c r="A283" s="5">
        <v>0</v>
      </c>
      <c r="B283" s="6" t="s">
        <v>1941</v>
      </c>
      <c r="C283" s="13">
        <v>1684</v>
      </c>
      <c r="D283" s="8" t="s">
        <v>1942</v>
      </c>
      <c r="E283" s="8" t="s">
        <v>1930</v>
      </c>
      <c r="F283" s="8" t="s">
        <v>1943</v>
      </c>
      <c r="G283" s="6" t="s">
        <v>52</v>
      </c>
      <c r="H283" s="6" t="s">
        <v>53</v>
      </c>
      <c r="I283" s="8"/>
      <c r="J283" s="9">
        <v>1</v>
      </c>
      <c r="K283" s="9">
        <v>366</v>
      </c>
      <c r="L283" s="9">
        <v>2024</v>
      </c>
      <c r="M283" s="8" t="s">
        <v>1944</v>
      </c>
      <c r="N283" s="8" t="s">
        <v>56</v>
      </c>
      <c r="O283" s="8" t="s">
        <v>57</v>
      </c>
      <c r="P283" s="6" t="s">
        <v>42</v>
      </c>
      <c r="Q283" s="8" t="s">
        <v>654</v>
      </c>
      <c r="R283" s="10" t="s">
        <v>1945</v>
      </c>
      <c r="S283" s="11" t="s">
        <v>1946</v>
      </c>
      <c r="T283" s="6"/>
      <c r="U283" s="27" t="str">
        <f>HYPERLINK("https://media.infra-m.ru/2083/2083415/cover/2083415.jpg", "Обложка")</f>
        <v>Обложка</v>
      </c>
      <c r="V283" s="27" t="str">
        <f>HYPERLINK("https://znanium.com/catalog/product/1903789", "Ознакомиться")</f>
        <v>Ознакомиться</v>
      </c>
      <c r="W283" s="8" t="s">
        <v>72</v>
      </c>
      <c r="X283" s="6"/>
      <c r="Y283" s="6"/>
      <c r="Z283" s="6"/>
      <c r="AA283" s="6" t="s">
        <v>639</v>
      </c>
    </row>
    <row r="284" spans="1:27" s="4" customFormat="1" ht="51.95" customHeight="1">
      <c r="A284" s="5">
        <v>0</v>
      </c>
      <c r="B284" s="6" t="s">
        <v>1947</v>
      </c>
      <c r="C284" s="7">
        <v>954</v>
      </c>
      <c r="D284" s="8" t="s">
        <v>1948</v>
      </c>
      <c r="E284" s="8" t="s">
        <v>1949</v>
      </c>
      <c r="F284" s="8" t="s">
        <v>1950</v>
      </c>
      <c r="G284" s="6" t="s">
        <v>37</v>
      </c>
      <c r="H284" s="6" t="s">
        <v>98</v>
      </c>
      <c r="I284" s="8" t="s">
        <v>165</v>
      </c>
      <c r="J284" s="9">
        <v>1</v>
      </c>
      <c r="K284" s="9">
        <v>207</v>
      </c>
      <c r="L284" s="9">
        <v>2024</v>
      </c>
      <c r="M284" s="8" t="s">
        <v>1951</v>
      </c>
      <c r="N284" s="8" t="s">
        <v>56</v>
      </c>
      <c r="O284" s="8" t="s">
        <v>57</v>
      </c>
      <c r="P284" s="6" t="s">
        <v>42</v>
      </c>
      <c r="Q284" s="8" t="s">
        <v>150</v>
      </c>
      <c r="R284" s="10" t="s">
        <v>1245</v>
      </c>
      <c r="S284" s="11" t="s">
        <v>1952</v>
      </c>
      <c r="T284" s="6"/>
      <c r="U284" s="27" t="str">
        <f>HYPERLINK("https://media.infra-m.ru/2103/2103141/cover/2103141.jpg", "Обложка")</f>
        <v>Обложка</v>
      </c>
      <c r="V284" s="12"/>
      <c r="W284" s="8" t="s">
        <v>287</v>
      </c>
      <c r="X284" s="6"/>
      <c r="Y284" s="6"/>
      <c r="Z284" s="6"/>
      <c r="AA284" s="6" t="s">
        <v>795</v>
      </c>
    </row>
    <row r="285" spans="1:27" s="4" customFormat="1" ht="51.95" customHeight="1">
      <c r="A285" s="5">
        <v>0</v>
      </c>
      <c r="B285" s="6" t="s">
        <v>1953</v>
      </c>
      <c r="C285" s="7">
        <v>974.9</v>
      </c>
      <c r="D285" s="8" t="s">
        <v>1954</v>
      </c>
      <c r="E285" s="8" t="s">
        <v>1955</v>
      </c>
      <c r="F285" s="8" t="s">
        <v>1956</v>
      </c>
      <c r="G285" s="6" t="s">
        <v>37</v>
      </c>
      <c r="H285" s="6" t="s">
        <v>98</v>
      </c>
      <c r="I285" s="8" t="s">
        <v>1957</v>
      </c>
      <c r="J285" s="9">
        <v>1</v>
      </c>
      <c r="K285" s="9">
        <v>304</v>
      </c>
      <c r="L285" s="9">
        <v>2019</v>
      </c>
      <c r="M285" s="8" t="s">
        <v>1958</v>
      </c>
      <c r="N285" s="8" t="s">
        <v>56</v>
      </c>
      <c r="O285" s="8" t="s">
        <v>57</v>
      </c>
      <c r="P285" s="6" t="s">
        <v>42</v>
      </c>
      <c r="Q285" s="8" t="s">
        <v>43</v>
      </c>
      <c r="R285" s="10" t="s">
        <v>1959</v>
      </c>
      <c r="S285" s="11" t="s">
        <v>1960</v>
      </c>
      <c r="T285" s="6"/>
      <c r="U285" s="27" t="str">
        <f>HYPERLINK("https://media.infra-m.ru/1012/1012446/cover/1012446.jpg", "Обложка")</f>
        <v>Обложка</v>
      </c>
      <c r="V285" s="12"/>
      <c r="W285" s="8" t="s">
        <v>287</v>
      </c>
      <c r="X285" s="6"/>
      <c r="Y285" s="6"/>
      <c r="Z285" s="6"/>
      <c r="AA285" s="6" t="s">
        <v>343</v>
      </c>
    </row>
    <row r="286" spans="1:27" s="4" customFormat="1" ht="51.95" customHeight="1">
      <c r="A286" s="5">
        <v>0</v>
      </c>
      <c r="B286" s="6" t="s">
        <v>1961</v>
      </c>
      <c r="C286" s="7">
        <v>890</v>
      </c>
      <c r="D286" s="8" t="s">
        <v>1962</v>
      </c>
      <c r="E286" s="8" t="s">
        <v>1963</v>
      </c>
      <c r="F286" s="8" t="s">
        <v>1964</v>
      </c>
      <c r="G286" s="6" t="s">
        <v>67</v>
      </c>
      <c r="H286" s="6" t="s">
        <v>53</v>
      </c>
      <c r="I286" s="8" t="s">
        <v>165</v>
      </c>
      <c r="J286" s="9">
        <v>1</v>
      </c>
      <c r="K286" s="9">
        <v>192</v>
      </c>
      <c r="L286" s="9">
        <v>2023</v>
      </c>
      <c r="M286" s="8" t="s">
        <v>1965</v>
      </c>
      <c r="N286" s="8" t="s">
        <v>56</v>
      </c>
      <c r="O286" s="8" t="s">
        <v>57</v>
      </c>
      <c r="P286" s="6" t="s">
        <v>42</v>
      </c>
      <c r="Q286" s="8" t="s">
        <v>43</v>
      </c>
      <c r="R286" s="10" t="s">
        <v>1966</v>
      </c>
      <c r="S286" s="11" t="s">
        <v>1967</v>
      </c>
      <c r="T286" s="6"/>
      <c r="U286" s="27" t="str">
        <f>HYPERLINK("https://media.infra-m.ru/1933/1933159/cover/1933159.jpg", "Обложка")</f>
        <v>Обложка</v>
      </c>
      <c r="V286" s="27" t="str">
        <f>HYPERLINK("https://znanium.com/catalog/product/1933159", "Ознакомиться")</f>
        <v>Ознакомиться</v>
      </c>
      <c r="W286" s="8" t="s">
        <v>72</v>
      </c>
      <c r="X286" s="6"/>
      <c r="Y286" s="6"/>
      <c r="Z286" s="6"/>
      <c r="AA286" s="6" t="s">
        <v>135</v>
      </c>
    </row>
    <row r="287" spans="1:27" s="4" customFormat="1" ht="51.95" customHeight="1">
      <c r="A287" s="5">
        <v>0</v>
      </c>
      <c r="B287" s="6" t="s">
        <v>1968</v>
      </c>
      <c r="C287" s="7">
        <v>694</v>
      </c>
      <c r="D287" s="8" t="s">
        <v>1969</v>
      </c>
      <c r="E287" s="8" t="s">
        <v>1970</v>
      </c>
      <c r="F287" s="8" t="s">
        <v>1971</v>
      </c>
      <c r="G287" s="6" t="s">
        <v>37</v>
      </c>
      <c r="H287" s="6" t="s">
        <v>53</v>
      </c>
      <c r="I287" s="8" t="s">
        <v>165</v>
      </c>
      <c r="J287" s="9">
        <v>1</v>
      </c>
      <c r="K287" s="9">
        <v>152</v>
      </c>
      <c r="L287" s="9">
        <v>2024</v>
      </c>
      <c r="M287" s="8" t="s">
        <v>1972</v>
      </c>
      <c r="N287" s="8" t="s">
        <v>56</v>
      </c>
      <c r="O287" s="8" t="s">
        <v>57</v>
      </c>
      <c r="P287" s="6" t="s">
        <v>69</v>
      </c>
      <c r="Q287" s="8" t="s">
        <v>43</v>
      </c>
      <c r="R287" s="10" t="s">
        <v>1973</v>
      </c>
      <c r="S287" s="11" t="s">
        <v>1974</v>
      </c>
      <c r="T287" s="6"/>
      <c r="U287" s="27" t="str">
        <f>HYPERLINK("https://media.infra-m.ru/1859/1859822/cover/1859822.jpg", "Обложка")</f>
        <v>Обложка</v>
      </c>
      <c r="V287" s="27" t="str">
        <f>HYPERLINK("https://znanium.com/catalog/product/1630190", "Ознакомиться")</f>
        <v>Ознакомиться</v>
      </c>
      <c r="W287" s="8" t="s">
        <v>1975</v>
      </c>
      <c r="X287" s="6"/>
      <c r="Y287" s="6"/>
      <c r="Z287" s="6"/>
      <c r="AA287" s="6" t="s">
        <v>208</v>
      </c>
    </row>
    <row r="288" spans="1:27" s="4" customFormat="1" ht="51.95" customHeight="1">
      <c r="A288" s="5">
        <v>0</v>
      </c>
      <c r="B288" s="6" t="s">
        <v>1976</v>
      </c>
      <c r="C288" s="13">
        <v>1064.9000000000001</v>
      </c>
      <c r="D288" s="8" t="s">
        <v>1977</v>
      </c>
      <c r="E288" s="8" t="s">
        <v>1978</v>
      </c>
      <c r="F288" s="8" t="s">
        <v>1979</v>
      </c>
      <c r="G288" s="6" t="s">
        <v>67</v>
      </c>
      <c r="H288" s="6" t="s">
        <v>38</v>
      </c>
      <c r="I288" s="8" t="s">
        <v>165</v>
      </c>
      <c r="J288" s="9">
        <v>1</v>
      </c>
      <c r="K288" s="9">
        <v>236</v>
      </c>
      <c r="L288" s="9">
        <v>2023</v>
      </c>
      <c r="M288" s="8" t="s">
        <v>1980</v>
      </c>
      <c r="N288" s="8" t="s">
        <v>56</v>
      </c>
      <c r="O288" s="8" t="s">
        <v>57</v>
      </c>
      <c r="P288" s="6" t="s">
        <v>69</v>
      </c>
      <c r="Q288" s="8" t="s">
        <v>43</v>
      </c>
      <c r="R288" s="10" t="s">
        <v>1981</v>
      </c>
      <c r="S288" s="11" t="s">
        <v>1982</v>
      </c>
      <c r="T288" s="6"/>
      <c r="U288" s="27" t="str">
        <f>HYPERLINK("https://media.infra-m.ru/1981/1981611/cover/1981611.jpg", "Обложка")</f>
        <v>Обложка</v>
      </c>
      <c r="V288" s="27" t="str">
        <f>HYPERLINK("https://znanium.com/catalog/product/976501", "Ознакомиться")</f>
        <v>Ознакомиться</v>
      </c>
      <c r="W288" s="8" t="s">
        <v>1983</v>
      </c>
      <c r="X288" s="6"/>
      <c r="Y288" s="6"/>
      <c r="Z288" s="6"/>
      <c r="AA288" s="6" t="s">
        <v>253</v>
      </c>
    </row>
    <row r="289" spans="1:27" s="4" customFormat="1" ht="51.95" customHeight="1">
      <c r="A289" s="5">
        <v>0</v>
      </c>
      <c r="B289" s="6" t="s">
        <v>1984</v>
      </c>
      <c r="C289" s="13">
        <v>2994</v>
      </c>
      <c r="D289" s="8" t="s">
        <v>1985</v>
      </c>
      <c r="E289" s="8" t="s">
        <v>1986</v>
      </c>
      <c r="F289" s="8" t="s">
        <v>1987</v>
      </c>
      <c r="G289" s="6" t="s">
        <v>37</v>
      </c>
      <c r="H289" s="6" t="s">
        <v>265</v>
      </c>
      <c r="I289" s="8" t="s">
        <v>54</v>
      </c>
      <c r="J289" s="9">
        <v>1</v>
      </c>
      <c r="K289" s="9">
        <v>512</v>
      </c>
      <c r="L289" s="9">
        <v>2023</v>
      </c>
      <c r="M289" s="8" t="s">
        <v>1988</v>
      </c>
      <c r="N289" s="8" t="s">
        <v>56</v>
      </c>
      <c r="O289" s="8" t="s">
        <v>57</v>
      </c>
      <c r="P289" s="6" t="s">
        <v>42</v>
      </c>
      <c r="Q289" s="8" t="s">
        <v>43</v>
      </c>
      <c r="R289" s="10" t="s">
        <v>1989</v>
      </c>
      <c r="S289" s="11" t="s">
        <v>1990</v>
      </c>
      <c r="T289" s="6"/>
      <c r="U289" s="27" t="str">
        <f>HYPERLINK("https://media.infra-m.ru/2023/2023156/cover/2023156.jpg", "Обложка")</f>
        <v>Обложка</v>
      </c>
      <c r="V289" s="27" t="str">
        <f>HYPERLINK("https://znanium.com/catalog/product/1669592", "Ознакомиться")</f>
        <v>Ознакомиться</v>
      </c>
      <c r="W289" s="8" t="s">
        <v>134</v>
      </c>
      <c r="X289" s="6"/>
      <c r="Y289" s="6"/>
      <c r="Z289" s="6"/>
      <c r="AA289" s="6" t="s">
        <v>540</v>
      </c>
    </row>
    <row r="290" spans="1:27" s="4" customFormat="1" ht="51.95" customHeight="1">
      <c r="A290" s="5">
        <v>0</v>
      </c>
      <c r="B290" s="6" t="s">
        <v>1991</v>
      </c>
      <c r="C290" s="13">
        <v>2304</v>
      </c>
      <c r="D290" s="8" t="s">
        <v>1992</v>
      </c>
      <c r="E290" s="8" t="s">
        <v>1986</v>
      </c>
      <c r="F290" s="8" t="s">
        <v>1987</v>
      </c>
      <c r="G290" s="6" t="s">
        <v>37</v>
      </c>
      <c r="H290" s="6" t="s">
        <v>265</v>
      </c>
      <c r="I290" s="8" t="s">
        <v>652</v>
      </c>
      <c r="J290" s="9">
        <v>1</v>
      </c>
      <c r="K290" s="9">
        <v>512</v>
      </c>
      <c r="L290" s="9">
        <v>2023</v>
      </c>
      <c r="M290" s="8" t="s">
        <v>1993</v>
      </c>
      <c r="N290" s="8" t="s">
        <v>56</v>
      </c>
      <c r="O290" s="8" t="s">
        <v>57</v>
      </c>
      <c r="P290" s="6" t="s">
        <v>42</v>
      </c>
      <c r="Q290" s="8" t="s">
        <v>654</v>
      </c>
      <c r="R290" s="10" t="s">
        <v>1994</v>
      </c>
      <c r="S290" s="11" t="s">
        <v>1995</v>
      </c>
      <c r="T290" s="6"/>
      <c r="U290" s="27" t="str">
        <f>HYPERLINK("https://media.infra-m.ru/2021/2021427/cover/2021427.jpg", "Обложка")</f>
        <v>Обложка</v>
      </c>
      <c r="V290" s="27" t="str">
        <f>HYPERLINK("https://znanium.com/catalog/product/1120823", "Ознакомиться")</f>
        <v>Ознакомиться</v>
      </c>
      <c r="W290" s="8" t="s">
        <v>134</v>
      </c>
      <c r="X290" s="6"/>
      <c r="Y290" s="6"/>
      <c r="Z290" s="6" t="s">
        <v>657</v>
      </c>
      <c r="AA290" s="6" t="s">
        <v>73</v>
      </c>
    </row>
    <row r="291" spans="1:27" s="4" customFormat="1" ht="51.95" customHeight="1">
      <c r="A291" s="5">
        <v>0</v>
      </c>
      <c r="B291" s="6" t="s">
        <v>1996</v>
      </c>
      <c r="C291" s="7">
        <v>794.9</v>
      </c>
      <c r="D291" s="8" t="s">
        <v>1997</v>
      </c>
      <c r="E291" s="8" t="s">
        <v>1998</v>
      </c>
      <c r="F291" s="8" t="s">
        <v>1999</v>
      </c>
      <c r="G291" s="6" t="s">
        <v>37</v>
      </c>
      <c r="H291" s="6" t="s">
        <v>53</v>
      </c>
      <c r="I291" s="8" t="s">
        <v>114</v>
      </c>
      <c r="J291" s="9">
        <v>1</v>
      </c>
      <c r="K291" s="9">
        <v>287</v>
      </c>
      <c r="L291" s="9">
        <v>2018</v>
      </c>
      <c r="M291" s="8" t="s">
        <v>2000</v>
      </c>
      <c r="N291" s="8" t="s">
        <v>56</v>
      </c>
      <c r="O291" s="8" t="s">
        <v>57</v>
      </c>
      <c r="P291" s="6" t="s">
        <v>116</v>
      </c>
      <c r="Q291" s="8" t="s">
        <v>81</v>
      </c>
      <c r="R291" s="10" t="s">
        <v>2001</v>
      </c>
      <c r="S291" s="11"/>
      <c r="T291" s="6"/>
      <c r="U291" s="27" t="str">
        <f>HYPERLINK("https://media.infra-m.ru/0959/0959989/cover/959989.jpg", "Обложка")</f>
        <v>Обложка</v>
      </c>
      <c r="V291" s="27" t="str">
        <f>HYPERLINK("https://znanium.com/catalog/product/959989", "Ознакомиться")</f>
        <v>Ознакомиться</v>
      </c>
      <c r="W291" s="8" t="s">
        <v>351</v>
      </c>
      <c r="X291" s="6"/>
      <c r="Y291" s="6"/>
      <c r="Z291" s="6"/>
      <c r="AA291" s="6" t="s">
        <v>84</v>
      </c>
    </row>
    <row r="292" spans="1:27" s="4" customFormat="1" ht="51.95" customHeight="1">
      <c r="A292" s="5">
        <v>0</v>
      </c>
      <c r="B292" s="6" t="s">
        <v>2002</v>
      </c>
      <c r="C292" s="13">
        <v>1804.9</v>
      </c>
      <c r="D292" s="8" t="s">
        <v>2003</v>
      </c>
      <c r="E292" s="8" t="s">
        <v>2004</v>
      </c>
      <c r="F292" s="8" t="s">
        <v>2005</v>
      </c>
      <c r="G292" s="6" t="s">
        <v>37</v>
      </c>
      <c r="H292" s="6" t="s">
        <v>597</v>
      </c>
      <c r="I292" s="8"/>
      <c r="J292" s="9">
        <v>1</v>
      </c>
      <c r="K292" s="9">
        <v>400</v>
      </c>
      <c r="L292" s="9">
        <v>2023</v>
      </c>
      <c r="M292" s="8" t="s">
        <v>2006</v>
      </c>
      <c r="N292" s="8" t="s">
        <v>56</v>
      </c>
      <c r="O292" s="8" t="s">
        <v>57</v>
      </c>
      <c r="P292" s="6" t="s">
        <v>42</v>
      </c>
      <c r="Q292" s="8" t="s">
        <v>43</v>
      </c>
      <c r="R292" s="10" t="s">
        <v>2007</v>
      </c>
      <c r="S292" s="11"/>
      <c r="T292" s="6"/>
      <c r="U292" s="27" t="str">
        <f>HYPERLINK("https://media.infra-m.ru/1933/1933158/cover/1933158.jpg", "Обложка")</f>
        <v>Обложка</v>
      </c>
      <c r="V292" s="27" t="str">
        <f>HYPERLINK("https://znanium.com/catalog/product/959917", "Ознакомиться")</f>
        <v>Ознакомиться</v>
      </c>
      <c r="W292" s="8" t="s">
        <v>2008</v>
      </c>
      <c r="X292" s="6"/>
      <c r="Y292" s="6"/>
      <c r="Z292" s="6"/>
      <c r="AA292" s="6" t="s">
        <v>208</v>
      </c>
    </row>
    <row r="293" spans="1:27" s="4" customFormat="1" ht="51.95" customHeight="1">
      <c r="A293" s="5">
        <v>0</v>
      </c>
      <c r="B293" s="6" t="s">
        <v>2009</v>
      </c>
      <c r="C293" s="7">
        <v>324.89999999999998</v>
      </c>
      <c r="D293" s="8" t="s">
        <v>2010</v>
      </c>
      <c r="E293" s="8" t="s">
        <v>2011</v>
      </c>
      <c r="F293" s="8" t="s">
        <v>2012</v>
      </c>
      <c r="G293" s="6" t="s">
        <v>52</v>
      </c>
      <c r="H293" s="6" t="s">
        <v>53</v>
      </c>
      <c r="I293" s="8" t="s">
        <v>165</v>
      </c>
      <c r="J293" s="9">
        <v>1</v>
      </c>
      <c r="K293" s="9">
        <v>107</v>
      </c>
      <c r="L293" s="9">
        <v>2019</v>
      </c>
      <c r="M293" s="8" t="s">
        <v>2013</v>
      </c>
      <c r="N293" s="8" t="s">
        <v>56</v>
      </c>
      <c r="O293" s="8" t="s">
        <v>57</v>
      </c>
      <c r="P293" s="6" t="s">
        <v>42</v>
      </c>
      <c r="Q293" s="8" t="s">
        <v>43</v>
      </c>
      <c r="R293" s="10" t="s">
        <v>2014</v>
      </c>
      <c r="S293" s="11"/>
      <c r="T293" s="6"/>
      <c r="U293" s="27" t="str">
        <f>HYPERLINK("https://media.infra-m.ru/1007/1007912/cover/1007912.jpg", "Обложка")</f>
        <v>Обложка</v>
      </c>
      <c r="V293" s="27" t="str">
        <f>HYPERLINK("https://znanium.com/catalog/product/1007912", "Ознакомиться")</f>
        <v>Ознакомиться</v>
      </c>
      <c r="W293" s="8" t="s">
        <v>72</v>
      </c>
      <c r="X293" s="6"/>
      <c r="Y293" s="6"/>
      <c r="Z293" s="6"/>
      <c r="AA293" s="6" t="s">
        <v>62</v>
      </c>
    </row>
    <row r="294" spans="1:27" s="4" customFormat="1" ht="51.95" customHeight="1">
      <c r="A294" s="5">
        <v>0</v>
      </c>
      <c r="B294" s="6" t="s">
        <v>2015</v>
      </c>
      <c r="C294" s="13">
        <v>1150</v>
      </c>
      <c r="D294" s="8" t="s">
        <v>2016</v>
      </c>
      <c r="E294" s="8" t="s">
        <v>2017</v>
      </c>
      <c r="F294" s="8" t="s">
        <v>2018</v>
      </c>
      <c r="G294" s="6" t="s">
        <v>52</v>
      </c>
      <c r="H294" s="6" t="s">
        <v>53</v>
      </c>
      <c r="I294" s="8" t="s">
        <v>165</v>
      </c>
      <c r="J294" s="9">
        <v>1</v>
      </c>
      <c r="K294" s="9">
        <v>256</v>
      </c>
      <c r="L294" s="9">
        <v>2022</v>
      </c>
      <c r="M294" s="8" t="s">
        <v>2019</v>
      </c>
      <c r="N294" s="8" t="s">
        <v>56</v>
      </c>
      <c r="O294" s="8" t="s">
        <v>57</v>
      </c>
      <c r="P294" s="6" t="s">
        <v>42</v>
      </c>
      <c r="Q294" s="8" t="s">
        <v>43</v>
      </c>
      <c r="R294" s="10" t="s">
        <v>2020</v>
      </c>
      <c r="S294" s="11" t="s">
        <v>2021</v>
      </c>
      <c r="T294" s="6"/>
      <c r="U294" s="27" t="str">
        <f>HYPERLINK("https://media.infra-m.ru/1946/1946547/cover/1946547.jpg", "Обложка")</f>
        <v>Обложка</v>
      </c>
      <c r="V294" s="27" t="str">
        <f>HYPERLINK("https://znanium.com/catalog/product/1843590", "Ознакомиться")</f>
        <v>Ознакомиться</v>
      </c>
      <c r="W294" s="8" t="s">
        <v>2022</v>
      </c>
      <c r="X294" s="6"/>
      <c r="Y294" s="6"/>
      <c r="Z294" s="6"/>
      <c r="AA294" s="6" t="s">
        <v>62</v>
      </c>
    </row>
    <row r="295" spans="1:27" s="4" customFormat="1" ht="42" customHeight="1">
      <c r="A295" s="5">
        <v>0</v>
      </c>
      <c r="B295" s="6" t="s">
        <v>2023</v>
      </c>
      <c r="C295" s="13">
        <v>1100</v>
      </c>
      <c r="D295" s="8" t="s">
        <v>2024</v>
      </c>
      <c r="E295" s="8" t="s">
        <v>2025</v>
      </c>
      <c r="F295" s="8" t="s">
        <v>1347</v>
      </c>
      <c r="G295" s="6" t="s">
        <v>67</v>
      </c>
      <c r="H295" s="6" t="s">
        <v>53</v>
      </c>
      <c r="I295" s="8" t="s">
        <v>114</v>
      </c>
      <c r="J295" s="9">
        <v>1</v>
      </c>
      <c r="K295" s="9">
        <v>245</v>
      </c>
      <c r="L295" s="9">
        <v>2023</v>
      </c>
      <c r="M295" s="8" t="s">
        <v>2026</v>
      </c>
      <c r="N295" s="8" t="s">
        <v>56</v>
      </c>
      <c r="O295" s="8" t="s">
        <v>57</v>
      </c>
      <c r="P295" s="6" t="s">
        <v>116</v>
      </c>
      <c r="Q295" s="8" t="s">
        <v>81</v>
      </c>
      <c r="R295" s="10" t="s">
        <v>2027</v>
      </c>
      <c r="S295" s="11"/>
      <c r="T295" s="6"/>
      <c r="U295" s="27" t="str">
        <f>HYPERLINK("https://media.infra-m.ru/1898/1898120/cover/1898120.jpg", "Обложка")</f>
        <v>Обложка</v>
      </c>
      <c r="V295" s="27" t="str">
        <f>HYPERLINK("https://znanium.com/catalog/product/1898120", "Ознакомиться")</f>
        <v>Ознакомиться</v>
      </c>
      <c r="W295" s="8" t="s">
        <v>1350</v>
      </c>
      <c r="X295" s="6"/>
      <c r="Y295" s="6"/>
      <c r="Z295" s="6"/>
      <c r="AA295" s="6" t="s">
        <v>253</v>
      </c>
    </row>
    <row r="296" spans="1:27" s="4" customFormat="1" ht="51.95" customHeight="1">
      <c r="A296" s="5">
        <v>0</v>
      </c>
      <c r="B296" s="6" t="s">
        <v>2028</v>
      </c>
      <c r="C296" s="7">
        <v>894</v>
      </c>
      <c r="D296" s="8" t="s">
        <v>2029</v>
      </c>
      <c r="E296" s="8" t="s">
        <v>2030</v>
      </c>
      <c r="F296" s="8" t="s">
        <v>2031</v>
      </c>
      <c r="G296" s="6" t="s">
        <v>37</v>
      </c>
      <c r="H296" s="6" t="s">
        <v>53</v>
      </c>
      <c r="I296" s="8" t="s">
        <v>165</v>
      </c>
      <c r="J296" s="9">
        <v>1</v>
      </c>
      <c r="K296" s="9">
        <v>196</v>
      </c>
      <c r="L296" s="9">
        <v>2023</v>
      </c>
      <c r="M296" s="8" t="s">
        <v>2032</v>
      </c>
      <c r="N296" s="8" t="s">
        <v>56</v>
      </c>
      <c r="O296" s="8" t="s">
        <v>57</v>
      </c>
      <c r="P296" s="6" t="s">
        <v>42</v>
      </c>
      <c r="Q296" s="8" t="s">
        <v>43</v>
      </c>
      <c r="R296" s="10" t="s">
        <v>2033</v>
      </c>
      <c r="S296" s="11" t="s">
        <v>2034</v>
      </c>
      <c r="T296" s="6"/>
      <c r="U296" s="27" t="str">
        <f>HYPERLINK("https://media.infra-m.ru/2023/2023207/cover/2023207.jpg", "Обложка")</f>
        <v>Обложка</v>
      </c>
      <c r="V296" s="27" t="str">
        <f>HYPERLINK("https://znanium.com/catalog/product/987371", "Ознакомиться")</f>
        <v>Ознакомиться</v>
      </c>
      <c r="W296" s="8" t="s">
        <v>928</v>
      </c>
      <c r="X296" s="6"/>
      <c r="Y296" s="6"/>
      <c r="Z296" s="6"/>
      <c r="AA296" s="6" t="s">
        <v>601</v>
      </c>
    </row>
    <row r="297" spans="1:27" s="4" customFormat="1" ht="44.1" customHeight="1">
      <c r="A297" s="5">
        <v>0</v>
      </c>
      <c r="B297" s="6" t="s">
        <v>2035</v>
      </c>
      <c r="C297" s="13">
        <v>1174.9000000000001</v>
      </c>
      <c r="D297" s="8" t="s">
        <v>2036</v>
      </c>
      <c r="E297" s="8" t="s">
        <v>2037</v>
      </c>
      <c r="F297" s="8" t="s">
        <v>97</v>
      </c>
      <c r="G297" s="6" t="s">
        <v>52</v>
      </c>
      <c r="H297" s="6" t="s">
        <v>53</v>
      </c>
      <c r="I297" s="8" t="s">
        <v>114</v>
      </c>
      <c r="J297" s="9">
        <v>1</v>
      </c>
      <c r="K297" s="9">
        <v>335</v>
      </c>
      <c r="L297" s="9">
        <v>2020</v>
      </c>
      <c r="M297" s="8" t="s">
        <v>2038</v>
      </c>
      <c r="N297" s="8" t="s">
        <v>56</v>
      </c>
      <c r="O297" s="8" t="s">
        <v>57</v>
      </c>
      <c r="P297" s="6" t="s">
        <v>116</v>
      </c>
      <c r="Q297" s="8" t="s">
        <v>81</v>
      </c>
      <c r="R297" s="10" t="s">
        <v>2039</v>
      </c>
      <c r="S297" s="11"/>
      <c r="T297" s="6"/>
      <c r="U297" s="27" t="str">
        <f>HYPERLINK("https://media.infra-m.ru/1049/1049327/cover/1049327.jpg", "Обложка")</f>
        <v>Обложка</v>
      </c>
      <c r="V297" s="27" t="str">
        <f>HYPERLINK("https://znanium.com/catalog/product/1049327", "Ознакомиться")</f>
        <v>Ознакомиться</v>
      </c>
      <c r="W297" s="8" t="s">
        <v>287</v>
      </c>
      <c r="X297" s="6"/>
      <c r="Y297" s="6"/>
      <c r="Z297" s="6"/>
      <c r="AA297" s="6" t="s">
        <v>288</v>
      </c>
    </row>
    <row r="298" spans="1:27" s="4" customFormat="1" ht="42" customHeight="1">
      <c r="A298" s="5">
        <v>0</v>
      </c>
      <c r="B298" s="6" t="s">
        <v>2040</v>
      </c>
      <c r="C298" s="13">
        <v>1230</v>
      </c>
      <c r="D298" s="8" t="s">
        <v>2041</v>
      </c>
      <c r="E298" s="8" t="s">
        <v>2042</v>
      </c>
      <c r="F298" s="8" t="s">
        <v>790</v>
      </c>
      <c r="G298" s="6" t="s">
        <v>52</v>
      </c>
      <c r="H298" s="6" t="s">
        <v>53</v>
      </c>
      <c r="I298" s="8" t="s">
        <v>114</v>
      </c>
      <c r="J298" s="9">
        <v>1</v>
      </c>
      <c r="K298" s="9">
        <v>359</v>
      </c>
      <c r="L298" s="9">
        <v>2019</v>
      </c>
      <c r="M298" s="8" t="s">
        <v>2043</v>
      </c>
      <c r="N298" s="8" t="s">
        <v>56</v>
      </c>
      <c r="O298" s="8" t="s">
        <v>57</v>
      </c>
      <c r="P298" s="6" t="s">
        <v>2044</v>
      </c>
      <c r="Q298" s="8" t="s">
        <v>81</v>
      </c>
      <c r="R298" s="10" t="s">
        <v>2045</v>
      </c>
      <c r="S298" s="11"/>
      <c r="T298" s="6"/>
      <c r="U298" s="27" t="str">
        <f>HYPERLINK("https://media.infra-m.ru/1039/1039352/cover/1039352.jpg", "Обложка")</f>
        <v>Обложка</v>
      </c>
      <c r="V298" s="27" t="str">
        <f>HYPERLINK("https://znanium.com/catalog/product/1039352", "Ознакомиться")</f>
        <v>Ознакомиться</v>
      </c>
      <c r="W298" s="8" t="s">
        <v>287</v>
      </c>
      <c r="X298" s="6"/>
      <c r="Y298" s="6"/>
      <c r="Z298" s="6"/>
      <c r="AA298" s="6" t="s">
        <v>208</v>
      </c>
    </row>
    <row r="299" spans="1:27" s="4" customFormat="1" ht="51.95" customHeight="1">
      <c r="A299" s="5">
        <v>0</v>
      </c>
      <c r="B299" s="6" t="s">
        <v>2046</v>
      </c>
      <c r="C299" s="7">
        <v>814.9</v>
      </c>
      <c r="D299" s="8" t="s">
        <v>2047</v>
      </c>
      <c r="E299" s="8" t="s">
        <v>2048</v>
      </c>
      <c r="F299" s="8" t="s">
        <v>790</v>
      </c>
      <c r="G299" s="6" t="s">
        <v>52</v>
      </c>
      <c r="H299" s="6" t="s">
        <v>53</v>
      </c>
      <c r="I299" s="8" t="s">
        <v>114</v>
      </c>
      <c r="J299" s="9">
        <v>1</v>
      </c>
      <c r="K299" s="9">
        <v>263</v>
      </c>
      <c r="L299" s="9">
        <v>2018</v>
      </c>
      <c r="M299" s="8" t="s">
        <v>2049</v>
      </c>
      <c r="N299" s="8" t="s">
        <v>56</v>
      </c>
      <c r="O299" s="8" t="s">
        <v>57</v>
      </c>
      <c r="P299" s="6" t="s">
        <v>116</v>
      </c>
      <c r="Q299" s="8" t="s">
        <v>81</v>
      </c>
      <c r="R299" s="10" t="s">
        <v>2050</v>
      </c>
      <c r="S299" s="11"/>
      <c r="T299" s="6"/>
      <c r="U299" s="27" t="str">
        <f>HYPERLINK("https://media.infra-m.ru/0944/0944406/cover/944406.jpg", "Обложка")</f>
        <v>Обложка</v>
      </c>
      <c r="V299" s="27" t="str">
        <f>HYPERLINK("https://znanium.com/catalog/product/944406", "Ознакомиться")</f>
        <v>Ознакомиться</v>
      </c>
      <c r="W299" s="8" t="s">
        <v>287</v>
      </c>
      <c r="X299" s="6"/>
      <c r="Y299" s="6"/>
      <c r="Z299" s="6"/>
      <c r="AA299" s="6" t="s">
        <v>208</v>
      </c>
    </row>
    <row r="300" spans="1:27" s="4" customFormat="1" ht="44.1" customHeight="1">
      <c r="A300" s="5">
        <v>0</v>
      </c>
      <c r="B300" s="6" t="s">
        <v>2051</v>
      </c>
      <c r="C300" s="13">
        <v>1200</v>
      </c>
      <c r="D300" s="8" t="s">
        <v>2052</v>
      </c>
      <c r="E300" s="8" t="s">
        <v>2053</v>
      </c>
      <c r="F300" s="8" t="s">
        <v>97</v>
      </c>
      <c r="G300" s="6" t="s">
        <v>52</v>
      </c>
      <c r="H300" s="6" t="s">
        <v>53</v>
      </c>
      <c r="I300" s="8" t="s">
        <v>114</v>
      </c>
      <c r="J300" s="9">
        <v>1</v>
      </c>
      <c r="K300" s="9">
        <v>323</v>
      </c>
      <c r="L300" s="9">
        <v>2021</v>
      </c>
      <c r="M300" s="8" t="s">
        <v>2054</v>
      </c>
      <c r="N300" s="8" t="s">
        <v>56</v>
      </c>
      <c r="O300" s="8" t="s">
        <v>57</v>
      </c>
      <c r="P300" s="6" t="s">
        <v>116</v>
      </c>
      <c r="Q300" s="8" t="s">
        <v>81</v>
      </c>
      <c r="R300" s="10" t="s">
        <v>2055</v>
      </c>
      <c r="S300" s="11"/>
      <c r="T300" s="6"/>
      <c r="U300" s="27" t="str">
        <f>HYPERLINK("https://media.infra-m.ru/1186/1186675/cover/1186675.jpg", "Обложка")</f>
        <v>Обложка</v>
      </c>
      <c r="V300" s="27" t="str">
        <f>HYPERLINK("https://znanium.com/catalog/product/1186675", "Ознакомиться")</f>
        <v>Ознакомиться</v>
      </c>
      <c r="W300" s="8" t="s">
        <v>287</v>
      </c>
      <c r="X300" s="6"/>
      <c r="Y300" s="6"/>
      <c r="Z300" s="6"/>
      <c r="AA300" s="6" t="s">
        <v>143</v>
      </c>
    </row>
    <row r="301" spans="1:27" s="4" customFormat="1" ht="51.95" customHeight="1">
      <c r="A301" s="5">
        <v>0</v>
      </c>
      <c r="B301" s="6" t="s">
        <v>2056</v>
      </c>
      <c r="C301" s="7">
        <v>990</v>
      </c>
      <c r="D301" s="8" t="s">
        <v>2057</v>
      </c>
      <c r="E301" s="8" t="s">
        <v>2058</v>
      </c>
      <c r="F301" s="8" t="s">
        <v>2059</v>
      </c>
      <c r="G301" s="6" t="s">
        <v>52</v>
      </c>
      <c r="H301" s="6" t="s">
        <v>53</v>
      </c>
      <c r="I301" s="8" t="s">
        <v>165</v>
      </c>
      <c r="J301" s="9">
        <v>10</v>
      </c>
      <c r="K301" s="9">
        <v>496</v>
      </c>
      <c r="L301" s="9">
        <v>2016</v>
      </c>
      <c r="M301" s="8" t="s">
        <v>2060</v>
      </c>
      <c r="N301" s="8" t="s">
        <v>56</v>
      </c>
      <c r="O301" s="8" t="s">
        <v>57</v>
      </c>
      <c r="P301" s="6" t="s">
        <v>42</v>
      </c>
      <c r="Q301" s="8" t="s">
        <v>43</v>
      </c>
      <c r="R301" s="10" t="s">
        <v>2061</v>
      </c>
      <c r="S301" s="11" t="s">
        <v>2062</v>
      </c>
      <c r="T301" s="6"/>
      <c r="U301" s="27" t="str">
        <f>HYPERLINK("https://media.infra-m.ru/0460/0460471/cover/460471.jpg", "Обложка")</f>
        <v>Обложка</v>
      </c>
      <c r="V301" s="27" t="str">
        <f>HYPERLINK("https://znanium.com/catalog/product/460471", "Ознакомиться")</f>
        <v>Ознакомиться</v>
      </c>
      <c r="W301" s="8" t="s">
        <v>134</v>
      </c>
      <c r="X301" s="6"/>
      <c r="Y301" s="6"/>
      <c r="Z301" s="6"/>
      <c r="AA301" s="6" t="s">
        <v>208</v>
      </c>
    </row>
    <row r="302" spans="1:27" s="4" customFormat="1" ht="51.95" customHeight="1">
      <c r="A302" s="5">
        <v>0</v>
      </c>
      <c r="B302" s="6" t="s">
        <v>2063</v>
      </c>
      <c r="C302" s="7">
        <v>832</v>
      </c>
      <c r="D302" s="8" t="s">
        <v>2064</v>
      </c>
      <c r="E302" s="8" t="s">
        <v>2065</v>
      </c>
      <c r="F302" s="8" t="s">
        <v>790</v>
      </c>
      <c r="G302" s="6" t="s">
        <v>67</v>
      </c>
      <c r="H302" s="6" t="s">
        <v>53</v>
      </c>
      <c r="I302" s="8" t="s">
        <v>165</v>
      </c>
      <c r="J302" s="9">
        <v>1</v>
      </c>
      <c r="K302" s="9">
        <v>260</v>
      </c>
      <c r="L302" s="9">
        <v>2019</v>
      </c>
      <c r="M302" s="8" t="s">
        <v>2066</v>
      </c>
      <c r="N302" s="8" t="s">
        <v>56</v>
      </c>
      <c r="O302" s="8" t="s">
        <v>57</v>
      </c>
      <c r="P302" s="6" t="s">
        <v>42</v>
      </c>
      <c r="Q302" s="8" t="s">
        <v>43</v>
      </c>
      <c r="R302" s="10" t="s">
        <v>2067</v>
      </c>
      <c r="S302" s="11" t="s">
        <v>2068</v>
      </c>
      <c r="T302" s="6"/>
      <c r="U302" s="27" t="str">
        <f>HYPERLINK("https://media.infra-m.ru/1001/1001585/cover/1001585.jpg", "Обложка")</f>
        <v>Обложка</v>
      </c>
      <c r="V302" s="27" t="str">
        <f>HYPERLINK("https://znanium.com/catalog/product/1816408", "Ознакомиться")</f>
        <v>Ознакомиться</v>
      </c>
      <c r="W302" s="8" t="s">
        <v>287</v>
      </c>
      <c r="X302" s="6"/>
      <c r="Y302" s="6"/>
      <c r="Z302" s="6"/>
      <c r="AA302" s="6" t="s">
        <v>1335</v>
      </c>
    </row>
    <row r="303" spans="1:27" s="4" customFormat="1" ht="51.95" customHeight="1">
      <c r="A303" s="5">
        <v>0</v>
      </c>
      <c r="B303" s="6" t="s">
        <v>2069</v>
      </c>
      <c r="C303" s="7">
        <v>960</v>
      </c>
      <c r="D303" s="8" t="s">
        <v>2070</v>
      </c>
      <c r="E303" s="8" t="s">
        <v>2071</v>
      </c>
      <c r="F303" s="8" t="s">
        <v>2072</v>
      </c>
      <c r="G303" s="6" t="s">
        <v>67</v>
      </c>
      <c r="H303" s="6" t="s">
        <v>53</v>
      </c>
      <c r="I303" s="8" t="s">
        <v>165</v>
      </c>
      <c r="J303" s="9">
        <v>1</v>
      </c>
      <c r="K303" s="9">
        <v>251</v>
      </c>
      <c r="L303" s="9">
        <v>2022</v>
      </c>
      <c r="M303" s="8" t="s">
        <v>2073</v>
      </c>
      <c r="N303" s="8" t="s">
        <v>56</v>
      </c>
      <c r="O303" s="8" t="s">
        <v>57</v>
      </c>
      <c r="P303" s="6" t="s">
        <v>42</v>
      </c>
      <c r="Q303" s="8" t="s">
        <v>43</v>
      </c>
      <c r="R303" s="10" t="s">
        <v>2067</v>
      </c>
      <c r="S303" s="11" t="s">
        <v>2074</v>
      </c>
      <c r="T303" s="6"/>
      <c r="U303" s="27" t="str">
        <f>HYPERLINK("https://media.infra-m.ru/1816/1816408/cover/1816408.jpg", "Обложка")</f>
        <v>Обложка</v>
      </c>
      <c r="V303" s="27" t="str">
        <f>HYPERLINK("https://znanium.com/catalog/product/1816408", "Ознакомиться")</f>
        <v>Ознакомиться</v>
      </c>
      <c r="W303" s="8" t="s">
        <v>287</v>
      </c>
      <c r="X303" s="6"/>
      <c r="Y303" s="6"/>
      <c r="Z303" s="6"/>
      <c r="AA303" s="6" t="s">
        <v>294</v>
      </c>
    </row>
    <row r="304" spans="1:27" s="4" customFormat="1" ht="51.95" customHeight="1">
      <c r="A304" s="5">
        <v>0</v>
      </c>
      <c r="B304" s="6" t="s">
        <v>2075</v>
      </c>
      <c r="C304" s="13">
        <v>1274</v>
      </c>
      <c r="D304" s="8" t="s">
        <v>2076</v>
      </c>
      <c r="E304" s="8" t="s">
        <v>2077</v>
      </c>
      <c r="F304" s="8" t="s">
        <v>2078</v>
      </c>
      <c r="G304" s="6" t="s">
        <v>67</v>
      </c>
      <c r="H304" s="6" t="s">
        <v>53</v>
      </c>
      <c r="I304" s="8" t="s">
        <v>148</v>
      </c>
      <c r="J304" s="9">
        <v>1</v>
      </c>
      <c r="K304" s="9">
        <v>277</v>
      </c>
      <c r="L304" s="9">
        <v>2023</v>
      </c>
      <c r="M304" s="8" t="s">
        <v>2079</v>
      </c>
      <c r="N304" s="8" t="s">
        <v>56</v>
      </c>
      <c r="O304" s="8" t="s">
        <v>57</v>
      </c>
      <c r="P304" s="6" t="s">
        <v>42</v>
      </c>
      <c r="Q304" s="8" t="s">
        <v>150</v>
      </c>
      <c r="R304" s="10" t="s">
        <v>2080</v>
      </c>
      <c r="S304" s="11" t="s">
        <v>2081</v>
      </c>
      <c r="T304" s="6"/>
      <c r="U304" s="27" t="str">
        <f>HYPERLINK("https://media.infra-m.ru/1972/1972697/cover/1972697.jpg", "Обложка")</f>
        <v>Обложка</v>
      </c>
      <c r="V304" s="27" t="str">
        <f>HYPERLINK("https://znanium.com/catalog/product/1955911", "Ознакомиться")</f>
        <v>Ознакомиться</v>
      </c>
      <c r="W304" s="8" t="s">
        <v>287</v>
      </c>
      <c r="X304" s="6"/>
      <c r="Y304" s="6"/>
      <c r="Z304" s="6"/>
      <c r="AA304" s="6" t="s">
        <v>359</v>
      </c>
    </row>
    <row r="305" spans="1:27" s="4" customFormat="1" ht="42" customHeight="1">
      <c r="A305" s="5">
        <v>0</v>
      </c>
      <c r="B305" s="6" t="s">
        <v>2082</v>
      </c>
      <c r="C305" s="13">
        <v>1614</v>
      </c>
      <c r="D305" s="8" t="s">
        <v>2083</v>
      </c>
      <c r="E305" s="8" t="s">
        <v>2084</v>
      </c>
      <c r="F305" s="8" t="s">
        <v>97</v>
      </c>
      <c r="G305" s="6" t="s">
        <v>52</v>
      </c>
      <c r="H305" s="6" t="s">
        <v>53</v>
      </c>
      <c r="I305" s="8" t="s">
        <v>114</v>
      </c>
      <c r="J305" s="9">
        <v>1</v>
      </c>
      <c r="K305" s="9">
        <v>357</v>
      </c>
      <c r="L305" s="9">
        <v>2023</v>
      </c>
      <c r="M305" s="8" t="s">
        <v>2085</v>
      </c>
      <c r="N305" s="8" t="s">
        <v>56</v>
      </c>
      <c r="O305" s="8" t="s">
        <v>57</v>
      </c>
      <c r="P305" s="6" t="s">
        <v>116</v>
      </c>
      <c r="Q305" s="8" t="s">
        <v>81</v>
      </c>
      <c r="R305" s="10" t="s">
        <v>2086</v>
      </c>
      <c r="S305" s="11"/>
      <c r="T305" s="6"/>
      <c r="U305" s="27" t="str">
        <f>HYPERLINK("https://media.infra-m.ru/2006/2006910/cover/2006910.jpg", "Обложка")</f>
        <v>Обложка</v>
      </c>
      <c r="V305" s="27" t="str">
        <f>HYPERLINK("https://znanium.com/catalog/product/944194", "Ознакомиться")</f>
        <v>Ознакомиться</v>
      </c>
      <c r="W305" s="8" t="s">
        <v>287</v>
      </c>
      <c r="X305" s="6"/>
      <c r="Y305" s="6"/>
      <c r="Z305" s="6"/>
      <c r="AA305" s="6" t="s">
        <v>73</v>
      </c>
    </row>
    <row r="306" spans="1:27" s="4" customFormat="1" ht="51.95" customHeight="1">
      <c r="A306" s="5">
        <v>0</v>
      </c>
      <c r="B306" s="6" t="s">
        <v>2087</v>
      </c>
      <c r="C306" s="7">
        <v>854.9</v>
      </c>
      <c r="D306" s="8" t="s">
        <v>2088</v>
      </c>
      <c r="E306" s="8" t="s">
        <v>2089</v>
      </c>
      <c r="F306" s="8" t="s">
        <v>790</v>
      </c>
      <c r="G306" s="6" t="s">
        <v>52</v>
      </c>
      <c r="H306" s="6" t="s">
        <v>53</v>
      </c>
      <c r="I306" s="8" t="s">
        <v>114</v>
      </c>
      <c r="J306" s="9">
        <v>1</v>
      </c>
      <c r="K306" s="9">
        <v>277</v>
      </c>
      <c r="L306" s="9">
        <v>2018</v>
      </c>
      <c r="M306" s="8" t="s">
        <v>2090</v>
      </c>
      <c r="N306" s="8" t="s">
        <v>56</v>
      </c>
      <c r="O306" s="8" t="s">
        <v>57</v>
      </c>
      <c r="P306" s="6" t="s">
        <v>116</v>
      </c>
      <c r="Q306" s="8" t="s">
        <v>81</v>
      </c>
      <c r="R306" s="10" t="s">
        <v>2091</v>
      </c>
      <c r="S306" s="11"/>
      <c r="T306" s="6"/>
      <c r="U306" s="27" t="str">
        <f>HYPERLINK("https://media.infra-m.ru/0944/0944405/cover/944405.jpg", "Обложка")</f>
        <v>Обложка</v>
      </c>
      <c r="V306" s="27" t="str">
        <f>HYPERLINK("https://znanium.com/catalog/product/944405", "Ознакомиться")</f>
        <v>Ознакомиться</v>
      </c>
      <c r="W306" s="8" t="s">
        <v>287</v>
      </c>
      <c r="X306" s="6"/>
      <c r="Y306" s="6"/>
      <c r="Z306" s="6"/>
      <c r="AA306" s="6" t="s">
        <v>208</v>
      </c>
    </row>
    <row r="307" spans="1:27" s="4" customFormat="1" ht="44.1" customHeight="1">
      <c r="A307" s="5">
        <v>0</v>
      </c>
      <c r="B307" s="6" t="s">
        <v>2092</v>
      </c>
      <c r="C307" s="13">
        <v>1244.9000000000001</v>
      </c>
      <c r="D307" s="8" t="s">
        <v>2093</v>
      </c>
      <c r="E307" s="8" t="s">
        <v>2094</v>
      </c>
      <c r="F307" s="8" t="s">
        <v>790</v>
      </c>
      <c r="G307" s="6" t="s">
        <v>52</v>
      </c>
      <c r="H307" s="6" t="s">
        <v>53</v>
      </c>
      <c r="I307" s="8" t="s">
        <v>114</v>
      </c>
      <c r="J307" s="9">
        <v>1</v>
      </c>
      <c r="K307" s="9">
        <v>319</v>
      </c>
      <c r="L307" s="9">
        <v>2022</v>
      </c>
      <c r="M307" s="8" t="s">
        <v>2095</v>
      </c>
      <c r="N307" s="8" t="s">
        <v>56</v>
      </c>
      <c r="O307" s="8" t="s">
        <v>57</v>
      </c>
      <c r="P307" s="6" t="s">
        <v>116</v>
      </c>
      <c r="Q307" s="8" t="s">
        <v>81</v>
      </c>
      <c r="R307" s="10" t="s">
        <v>2096</v>
      </c>
      <c r="S307" s="11"/>
      <c r="T307" s="6"/>
      <c r="U307" s="27" t="str">
        <f>HYPERLINK("https://media.infra-m.ru/1851/1851538/cover/1851538.jpg", "Обложка")</f>
        <v>Обложка</v>
      </c>
      <c r="V307" s="27" t="str">
        <f>HYPERLINK("https://znanium.com/catalog/product/960030", "Ознакомиться")</f>
        <v>Ознакомиться</v>
      </c>
      <c r="W307" s="8" t="s">
        <v>287</v>
      </c>
      <c r="X307" s="6"/>
      <c r="Y307" s="6"/>
      <c r="Z307" s="6"/>
      <c r="AA307" s="6" t="s">
        <v>47</v>
      </c>
    </row>
    <row r="308" spans="1:27" s="4" customFormat="1" ht="51.95" customHeight="1">
      <c r="A308" s="5">
        <v>0</v>
      </c>
      <c r="B308" s="6" t="s">
        <v>2097</v>
      </c>
      <c r="C308" s="13">
        <v>1270</v>
      </c>
      <c r="D308" s="8" t="s">
        <v>2098</v>
      </c>
      <c r="E308" s="8" t="s">
        <v>2099</v>
      </c>
      <c r="F308" s="8" t="s">
        <v>2078</v>
      </c>
      <c r="G308" s="6" t="s">
        <v>67</v>
      </c>
      <c r="H308" s="6" t="s">
        <v>53</v>
      </c>
      <c r="I308" s="8" t="s">
        <v>148</v>
      </c>
      <c r="J308" s="9">
        <v>1</v>
      </c>
      <c r="K308" s="9">
        <v>282</v>
      </c>
      <c r="L308" s="9">
        <v>2022</v>
      </c>
      <c r="M308" s="8" t="s">
        <v>2100</v>
      </c>
      <c r="N308" s="8" t="s">
        <v>56</v>
      </c>
      <c r="O308" s="8" t="s">
        <v>57</v>
      </c>
      <c r="P308" s="6" t="s">
        <v>42</v>
      </c>
      <c r="Q308" s="8" t="s">
        <v>150</v>
      </c>
      <c r="R308" s="10" t="s">
        <v>2080</v>
      </c>
      <c r="S308" s="11" t="s">
        <v>2101</v>
      </c>
      <c r="T308" s="6"/>
      <c r="U308" s="27" t="str">
        <f>HYPERLINK("https://media.infra-m.ru/1955/1955911/cover/1955911.jpg", "Обложка")</f>
        <v>Обложка</v>
      </c>
      <c r="V308" s="27" t="str">
        <f>HYPERLINK("https://znanium.com/catalog/product/1955911", "Ознакомиться")</f>
        <v>Ознакомиться</v>
      </c>
      <c r="W308" s="8" t="s">
        <v>287</v>
      </c>
      <c r="X308" s="6"/>
      <c r="Y308" s="6"/>
      <c r="Z308" s="6"/>
      <c r="AA308" s="6" t="s">
        <v>658</v>
      </c>
    </row>
    <row r="309" spans="1:27" s="4" customFormat="1" ht="51.95" customHeight="1">
      <c r="A309" s="5">
        <v>0</v>
      </c>
      <c r="B309" s="6" t="s">
        <v>2102</v>
      </c>
      <c r="C309" s="7">
        <v>704.9</v>
      </c>
      <c r="D309" s="8" t="s">
        <v>2103</v>
      </c>
      <c r="E309" s="8" t="s">
        <v>2104</v>
      </c>
      <c r="F309" s="8" t="s">
        <v>97</v>
      </c>
      <c r="G309" s="6" t="s">
        <v>37</v>
      </c>
      <c r="H309" s="6" t="s">
        <v>867</v>
      </c>
      <c r="I309" s="8" t="s">
        <v>54</v>
      </c>
      <c r="J309" s="9">
        <v>1</v>
      </c>
      <c r="K309" s="9">
        <v>240</v>
      </c>
      <c r="L309" s="9">
        <v>2018</v>
      </c>
      <c r="M309" s="8" t="s">
        <v>2105</v>
      </c>
      <c r="N309" s="8" t="s">
        <v>56</v>
      </c>
      <c r="O309" s="8" t="s">
        <v>57</v>
      </c>
      <c r="P309" s="6" t="s">
        <v>42</v>
      </c>
      <c r="Q309" s="8" t="s">
        <v>150</v>
      </c>
      <c r="R309" s="10" t="s">
        <v>2080</v>
      </c>
      <c r="S309" s="11" t="s">
        <v>2106</v>
      </c>
      <c r="T309" s="6"/>
      <c r="U309" s="27" t="str">
        <f>HYPERLINK("https://media.infra-m.ru/0933/0933901/cover/933901.jpg", "Обложка")</f>
        <v>Обложка</v>
      </c>
      <c r="V309" s="27" t="str">
        <f>HYPERLINK("https://znanium.com/catalog/product/1955911", "Ознакомиться")</f>
        <v>Ознакомиться</v>
      </c>
      <c r="W309" s="8" t="s">
        <v>287</v>
      </c>
      <c r="X309" s="6"/>
      <c r="Y309" s="6"/>
      <c r="Z309" s="6"/>
      <c r="AA309" s="6" t="s">
        <v>463</v>
      </c>
    </row>
    <row r="310" spans="1:27" s="4" customFormat="1" ht="51.95" customHeight="1">
      <c r="A310" s="5">
        <v>0</v>
      </c>
      <c r="B310" s="6" t="s">
        <v>2107</v>
      </c>
      <c r="C310" s="7">
        <v>910</v>
      </c>
      <c r="D310" s="8" t="s">
        <v>2108</v>
      </c>
      <c r="E310" s="8" t="s">
        <v>2109</v>
      </c>
      <c r="F310" s="8" t="s">
        <v>2110</v>
      </c>
      <c r="G310" s="6" t="s">
        <v>67</v>
      </c>
      <c r="H310" s="6" t="s">
        <v>53</v>
      </c>
      <c r="I310" s="8" t="s">
        <v>165</v>
      </c>
      <c r="J310" s="9">
        <v>1</v>
      </c>
      <c r="K310" s="9">
        <v>202</v>
      </c>
      <c r="L310" s="9">
        <v>2023</v>
      </c>
      <c r="M310" s="8" t="s">
        <v>2111</v>
      </c>
      <c r="N310" s="8" t="s">
        <v>56</v>
      </c>
      <c r="O310" s="8" t="s">
        <v>57</v>
      </c>
      <c r="P310" s="6" t="s">
        <v>42</v>
      </c>
      <c r="Q310" s="8" t="s">
        <v>43</v>
      </c>
      <c r="R310" s="10" t="s">
        <v>2112</v>
      </c>
      <c r="S310" s="11" t="s">
        <v>2113</v>
      </c>
      <c r="T310" s="6"/>
      <c r="U310" s="27" t="str">
        <f>HYPERLINK("https://media.infra-m.ru/1960/1960113/cover/1960113.jpg", "Обложка")</f>
        <v>Обложка</v>
      </c>
      <c r="V310" s="27" t="str">
        <f>HYPERLINK("https://znanium.com/catalog/product/1960113", "Ознакомиться")</f>
        <v>Ознакомиться</v>
      </c>
      <c r="W310" s="8" t="s">
        <v>2114</v>
      </c>
      <c r="X310" s="6"/>
      <c r="Y310" s="6"/>
      <c r="Z310" s="6"/>
      <c r="AA310" s="6" t="s">
        <v>143</v>
      </c>
    </row>
    <row r="311" spans="1:27" s="4" customFormat="1" ht="51.95" customHeight="1">
      <c r="A311" s="5">
        <v>0</v>
      </c>
      <c r="B311" s="6" t="s">
        <v>2115</v>
      </c>
      <c r="C311" s="7">
        <v>810</v>
      </c>
      <c r="D311" s="8" t="s">
        <v>2116</v>
      </c>
      <c r="E311" s="8" t="s">
        <v>2117</v>
      </c>
      <c r="F311" s="8" t="s">
        <v>2118</v>
      </c>
      <c r="G311" s="6" t="s">
        <v>52</v>
      </c>
      <c r="H311" s="6" t="s">
        <v>53</v>
      </c>
      <c r="I311" s="8" t="s">
        <v>2119</v>
      </c>
      <c r="J311" s="9">
        <v>1</v>
      </c>
      <c r="K311" s="9">
        <v>176</v>
      </c>
      <c r="L311" s="9">
        <v>2024</v>
      </c>
      <c r="M311" s="8" t="s">
        <v>2120</v>
      </c>
      <c r="N311" s="8" t="s">
        <v>56</v>
      </c>
      <c r="O311" s="8" t="s">
        <v>57</v>
      </c>
      <c r="P311" s="6" t="s">
        <v>2121</v>
      </c>
      <c r="Q311" s="8" t="s">
        <v>81</v>
      </c>
      <c r="R311" s="10" t="s">
        <v>2122</v>
      </c>
      <c r="S311" s="11"/>
      <c r="T311" s="6"/>
      <c r="U311" s="27" t="str">
        <f>HYPERLINK("https://media.infra-m.ru/2106/2106645/cover/2106645.jpg", "Обложка")</f>
        <v>Обложка</v>
      </c>
      <c r="V311" s="27" t="str">
        <f>HYPERLINK("https://znanium.com/catalog/product/2106645", "Ознакомиться")</f>
        <v>Ознакомиться</v>
      </c>
      <c r="W311" s="8" t="s">
        <v>1089</v>
      </c>
      <c r="X311" s="6"/>
      <c r="Y311" s="6"/>
      <c r="Z311" s="6"/>
      <c r="AA311" s="6" t="s">
        <v>463</v>
      </c>
    </row>
    <row r="312" spans="1:27" s="4" customFormat="1" ht="51.95" customHeight="1">
      <c r="A312" s="5">
        <v>0</v>
      </c>
      <c r="B312" s="6" t="s">
        <v>2123</v>
      </c>
      <c r="C312" s="7">
        <v>674</v>
      </c>
      <c r="D312" s="8" t="s">
        <v>2124</v>
      </c>
      <c r="E312" s="8" t="s">
        <v>2125</v>
      </c>
      <c r="F312" s="8" t="s">
        <v>2126</v>
      </c>
      <c r="G312" s="6" t="s">
        <v>37</v>
      </c>
      <c r="H312" s="6" t="s">
        <v>53</v>
      </c>
      <c r="I312" s="8" t="s">
        <v>148</v>
      </c>
      <c r="J312" s="9">
        <v>1</v>
      </c>
      <c r="K312" s="9">
        <v>148</v>
      </c>
      <c r="L312" s="9">
        <v>2023</v>
      </c>
      <c r="M312" s="8" t="s">
        <v>2127</v>
      </c>
      <c r="N312" s="8" t="s">
        <v>56</v>
      </c>
      <c r="O312" s="8" t="s">
        <v>57</v>
      </c>
      <c r="P312" s="6" t="s">
        <v>42</v>
      </c>
      <c r="Q312" s="8" t="s">
        <v>150</v>
      </c>
      <c r="R312" s="10" t="s">
        <v>319</v>
      </c>
      <c r="S312" s="11" t="s">
        <v>1877</v>
      </c>
      <c r="T312" s="6"/>
      <c r="U312" s="27" t="str">
        <f>HYPERLINK("https://media.infra-m.ru/2006/2006939/cover/2006939.jpg", "Обложка")</f>
        <v>Обложка</v>
      </c>
      <c r="V312" s="27" t="str">
        <f>HYPERLINK("https://znanium.com/catalog/product/972077", "Ознакомиться")</f>
        <v>Ознакомиться</v>
      </c>
      <c r="W312" s="8" t="s">
        <v>287</v>
      </c>
      <c r="X312" s="6"/>
      <c r="Y312" s="6"/>
      <c r="Z312" s="6"/>
      <c r="AA312" s="6" t="s">
        <v>510</v>
      </c>
    </row>
    <row r="313" spans="1:27" s="4" customFormat="1" ht="42" customHeight="1">
      <c r="A313" s="5">
        <v>0</v>
      </c>
      <c r="B313" s="6" t="s">
        <v>2128</v>
      </c>
      <c r="C313" s="13">
        <v>1250</v>
      </c>
      <c r="D313" s="8" t="s">
        <v>2129</v>
      </c>
      <c r="E313" s="8" t="s">
        <v>2130</v>
      </c>
      <c r="F313" s="8" t="s">
        <v>2131</v>
      </c>
      <c r="G313" s="6" t="s">
        <v>37</v>
      </c>
      <c r="H313" s="6" t="s">
        <v>53</v>
      </c>
      <c r="I313" s="8" t="s">
        <v>652</v>
      </c>
      <c r="J313" s="9">
        <v>1</v>
      </c>
      <c r="K313" s="9">
        <v>267</v>
      </c>
      <c r="L313" s="9">
        <v>2023</v>
      </c>
      <c r="M313" s="8" t="s">
        <v>2132</v>
      </c>
      <c r="N313" s="8" t="s">
        <v>56</v>
      </c>
      <c r="O313" s="8" t="s">
        <v>57</v>
      </c>
      <c r="P313" s="6" t="s">
        <v>42</v>
      </c>
      <c r="Q313" s="8" t="s">
        <v>654</v>
      </c>
      <c r="R313" s="10" t="s">
        <v>2133</v>
      </c>
      <c r="S313" s="11"/>
      <c r="T313" s="6"/>
      <c r="U313" s="27" t="str">
        <f>HYPERLINK("https://media.infra-m.ru/1859/1859086/cover/1859086.jpg", "Обложка")</f>
        <v>Обложка</v>
      </c>
      <c r="V313" s="27" t="str">
        <f>HYPERLINK("https://znanium.com/catalog/product/1859086", "Ознакомиться")</f>
        <v>Ознакомиться</v>
      </c>
      <c r="W313" s="8" t="s">
        <v>2134</v>
      </c>
      <c r="X313" s="6" t="s">
        <v>92</v>
      </c>
      <c r="Y313" s="6"/>
      <c r="Z313" s="6"/>
      <c r="AA313" s="6" t="s">
        <v>93</v>
      </c>
    </row>
    <row r="314" spans="1:27" s="4" customFormat="1" ht="51.95" customHeight="1">
      <c r="A314" s="5">
        <v>0</v>
      </c>
      <c r="B314" s="6" t="s">
        <v>2135</v>
      </c>
      <c r="C314" s="7">
        <v>924.9</v>
      </c>
      <c r="D314" s="8" t="s">
        <v>2136</v>
      </c>
      <c r="E314" s="8" t="s">
        <v>2137</v>
      </c>
      <c r="F314" s="8" t="s">
        <v>2138</v>
      </c>
      <c r="G314" s="6" t="s">
        <v>37</v>
      </c>
      <c r="H314" s="6" t="s">
        <v>53</v>
      </c>
      <c r="I314" s="8" t="s">
        <v>165</v>
      </c>
      <c r="J314" s="9">
        <v>1</v>
      </c>
      <c r="K314" s="9">
        <v>272</v>
      </c>
      <c r="L314" s="9">
        <v>2020</v>
      </c>
      <c r="M314" s="8" t="s">
        <v>2139</v>
      </c>
      <c r="N314" s="8" t="s">
        <v>56</v>
      </c>
      <c r="O314" s="8" t="s">
        <v>57</v>
      </c>
      <c r="P314" s="6" t="s">
        <v>42</v>
      </c>
      <c r="Q314" s="8" t="s">
        <v>43</v>
      </c>
      <c r="R314" s="10" t="s">
        <v>2061</v>
      </c>
      <c r="S314" s="11" t="s">
        <v>2140</v>
      </c>
      <c r="T314" s="6"/>
      <c r="U314" s="27" t="str">
        <f>HYPERLINK("https://media.infra-m.ru/1081/1081167/cover/1081167.jpg", "Обложка")</f>
        <v>Обложка</v>
      </c>
      <c r="V314" s="27" t="str">
        <f>HYPERLINK("https://znanium.com/catalog/product/935504", "Ознакомиться")</f>
        <v>Ознакомиться</v>
      </c>
      <c r="W314" s="8" t="s">
        <v>287</v>
      </c>
      <c r="X314" s="6"/>
      <c r="Y314" s="6"/>
      <c r="Z314" s="6"/>
      <c r="AA314" s="6" t="s">
        <v>795</v>
      </c>
    </row>
    <row r="315" spans="1:27" s="4" customFormat="1" ht="44.1" customHeight="1">
      <c r="A315" s="5">
        <v>0</v>
      </c>
      <c r="B315" s="6" t="s">
        <v>2141</v>
      </c>
      <c r="C315" s="13">
        <v>2180</v>
      </c>
      <c r="D315" s="8" t="s">
        <v>2142</v>
      </c>
      <c r="E315" s="8" t="s">
        <v>2143</v>
      </c>
      <c r="F315" s="8" t="s">
        <v>2144</v>
      </c>
      <c r="G315" s="6" t="s">
        <v>37</v>
      </c>
      <c r="H315" s="6" t="s">
        <v>53</v>
      </c>
      <c r="I315" s="8" t="s">
        <v>2145</v>
      </c>
      <c r="J315" s="9">
        <v>1</v>
      </c>
      <c r="K315" s="9">
        <v>474</v>
      </c>
      <c r="L315" s="9">
        <v>2024</v>
      </c>
      <c r="M315" s="8" t="s">
        <v>2146</v>
      </c>
      <c r="N315" s="8" t="s">
        <v>56</v>
      </c>
      <c r="O315" s="8" t="s">
        <v>57</v>
      </c>
      <c r="P315" s="6" t="s">
        <v>2147</v>
      </c>
      <c r="Q315" s="8" t="s">
        <v>58</v>
      </c>
      <c r="R315" s="10" t="s">
        <v>285</v>
      </c>
      <c r="S315" s="11"/>
      <c r="T315" s="6"/>
      <c r="U315" s="27" t="str">
        <f>HYPERLINK("https://media.infra-m.ru/2106/2106649/cover/2106649.jpg", "Обложка")</f>
        <v>Обложка</v>
      </c>
      <c r="V315" s="27" t="str">
        <f>HYPERLINK("https://znanium.com/catalog/product/2106649", "Ознакомиться")</f>
        <v>Ознакомиться</v>
      </c>
      <c r="W315" s="8" t="s">
        <v>2148</v>
      </c>
      <c r="X315" s="6"/>
      <c r="Y315" s="6"/>
      <c r="Z315" s="6"/>
      <c r="AA315" s="6" t="s">
        <v>288</v>
      </c>
    </row>
    <row r="316" spans="1:27" s="4" customFormat="1" ht="51.95" customHeight="1">
      <c r="A316" s="5">
        <v>0</v>
      </c>
      <c r="B316" s="6" t="s">
        <v>2149</v>
      </c>
      <c r="C316" s="13">
        <v>1764</v>
      </c>
      <c r="D316" s="8" t="s">
        <v>2150</v>
      </c>
      <c r="E316" s="8" t="s">
        <v>2094</v>
      </c>
      <c r="F316" s="8" t="s">
        <v>2151</v>
      </c>
      <c r="G316" s="6" t="s">
        <v>37</v>
      </c>
      <c r="H316" s="6" t="s">
        <v>53</v>
      </c>
      <c r="I316" s="8" t="s">
        <v>165</v>
      </c>
      <c r="J316" s="9">
        <v>1</v>
      </c>
      <c r="K316" s="9">
        <v>384</v>
      </c>
      <c r="L316" s="9">
        <v>2024</v>
      </c>
      <c r="M316" s="8" t="s">
        <v>2152</v>
      </c>
      <c r="N316" s="8" t="s">
        <v>56</v>
      </c>
      <c r="O316" s="8" t="s">
        <v>57</v>
      </c>
      <c r="P316" s="6" t="s">
        <v>69</v>
      </c>
      <c r="Q316" s="8" t="s">
        <v>43</v>
      </c>
      <c r="R316" s="10" t="s">
        <v>1700</v>
      </c>
      <c r="S316" s="11" t="s">
        <v>2153</v>
      </c>
      <c r="T316" s="6"/>
      <c r="U316" s="27" t="str">
        <f>HYPERLINK("https://media.infra-m.ru/2084/2084188/cover/2084188.jpg", "Обложка")</f>
        <v>Обложка</v>
      </c>
      <c r="V316" s="27" t="str">
        <f>HYPERLINK("https://znanium.com/catalog/product/1066124", "Ознакомиться")</f>
        <v>Ознакомиться</v>
      </c>
      <c r="W316" s="8" t="s">
        <v>1014</v>
      </c>
      <c r="X316" s="6"/>
      <c r="Y316" s="6"/>
      <c r="Z316" s="6"/>
      <c r="AA316" s="6" t="s">
        <v>47</v>
      </c>
    </row>
    <row r="317" spans="1:27" s="4" customFormat="1" ht="51.95" customHeight="1">
      <c r="A317" s="5">
        <v>0</v>
      </c>
      <c r="B317" s="6" t="s">
        <v>2154</v>
      </c>
      <c r="C317" s="13">
        <v>1300</v>
      </c>
      <c r="D317" s="8" t="s">
        <v>2155</v>
      </c>
      <c r="E317" s="8" t="s">
        <v>2156</v>
      </c>
      <c r="F317" s="8" t="s">
        <v>2157</v>
      </c>
      <c r="G317" s="6" t="s">
        <v>67</v>
      </c>
      <c r="H317" s="6" t="s">
        <v>239</v>
      </c>
      <c r="I317" s="8"/>
      <c r="J317" s="9">
        <v>1</v>
      </c>
      <c r="K317" s="9">
        <v>288</v>
      </c>
      <c r="L317" s="9">
        <v>2023</v>
      </c>
      <c r="M317" s="8" t="s">
        <v>2158</v>
      </c>
      <c r="N317" s="8" t="s">
        <v>56</v>
      </c>
      <c r="O317" s="8" t="s">
        <v>57</v>
      </c>
      <c r="P317" s="6" t="s">
        <v>69</v>
      </c>
      <c r="Q317" s="8" t="s">
        <v>654</v>
      </c>
      <c r="R317" s="10" t="s">
        <v>2159</v>
      </c>
      <c r="S317" s="11" t="s">
        <v>2160</v>
      </c>
      <c r="T317" s="6"/>
      <c r="U317" s="27" t="str">
        <f>HYPERLINK("https://media.infra-m.ru/1932/1932339/cover/1932339.jpg", "Обложка")</f>
        <v>Обложка</v>
      </c>
      <c r="V317" s="27" t="str">
        <f>HYPERLINK("https://znanium.com/catalog/product/1932339", "Ознакомиться")</f>
        <v>Ознакомиться</v>
      </c>
      <c r="W317" s="8" t="s">
        <v>568</v>
      </c>
      <c r="X317" s="6"/>
      <c r="Y317" s="6" t="s">
        <v>30</v>
      </c>
      <c r="Z317" s="6"/>
      <c r="AA317" s="6" t="s">
        <v>279</v>
      </c>
    </row>
    <row r="318" spans="1:27" s="4" customFormat="1" ht="51.95" customHeight="1">
      <c r="A318" s="5">
        <v>0</v>
      </c>
      <c r="B318" s="6" t="s">
        <v>2161</v>
      </c>
      <c r="C318" s="13">
        <v>2950</v>
      </c>
      <c r="D318" s="8" t="s">
        <v>2162</v>
      </c>
      <c r="E318" s="8" t="s">
        <v>2163</v>
      </c>
      <c r="F318" s="8" t="s">
        <v>2164</v>
      </c>
      <c r="G318" s="6" t="s">
        <v>37</v>
      </c>
      <c r="H318" s="6" t="s">
        <v>239</v>
      </c>
      <c r="I318" s="8"/>
      <c r="J318" s="9">
        <v>1</v>
      </c>
      <c r="K318" s="9">
        <v>656</v>
      </c>
      <c r="L318" s="9">
        <v>2023</v>
      </c>
      <c r="M318" s="8" t="s">
        <v>2165</v>
      </c>
      <c r="N318" s="8" t="s">
        <v>56</v>
      </c>
      <c r="O318" s="8" t="s">
        <v>57</v>
      </c>
      <c r="P318" s="6" t="s">
        <v>69</v>
      </c>
      <c r="Q318" s="8" t="s">
        <v>43</v>
      </c>
      <c r="R318" s="10" t="s">
        <v>2166</v>
      </c>
      <c r="S318" s="11" t="s">
        <v>2167</v>
      </c>
      <c r="T318" s="6"/>
      <c r="U318" s="27" t="str">
        <f>HYPERLINK("https://media.infra-m.ru/1893/1893500/cover/1893500.jpg", "Обложка")</f>
        <v>Обложка</v>
      </c>
      <c r="V318" s="27" t="str">
        <f>HYPERLINK("https://znanium.com/catalog/product/2016155", "Ознакомиться")</f>
        <v>Ознакомиться</v>
      </c>
      <c r="W318" s="8" t="s">
        <v>568</v>
      </c>
      <c r="X318" s="6"/>
      <c r="Y318" s="6"/>
      <c r="Z318" s="6"/>
      <c r="AA318" s="6" t="s">
        <v>2168</v>
      </c>
    </row>
    <row r="319" spans="1:27" s="4" customFormat="1" ht="51.95" customHeight="1">
      <c r="A319" s="5">
        <v>0</v>
      </c>
      <c r="B319" s="6" t="s">
        <v>2169</v>
      </c>
      <c r="C319" s="13">
        <v>2950</v>
      </c>
      <c r="D319" s="8" t="s">
        <v>2170</v>
      </c>
      <c r="E319" s="8" t="s">
        <v>2171</v>
      </c>
      <c r="F319" s="8" t="s">
        <v>2164</v>
      </c>
      <c r="G319" s="6" t="s">
        <v>37</v>
      </c>
      <c r="H319" s="6" t="s">
        <v>239</v>
      </c>
      <c r="I319" s="8"/>
      <c r="J319" s="9">
        <v>1</v>
      </c>
      <c r="K319" s="9">
        <v>672</v>
      </c>
      <c r="L319" s="9">
        <v>2023</v>
      </c>
      <c r="M319" s="8" t="s">
        <v>2172</v>
      </c>
      <c r="N319" s="8" t="s">
        <v>56</v>
      </c>
      <c r="O319" s="8" t="s">
        <v>57</v>
      </c>
      <c r="P319" s="6" t="s">
        <v>69</v>
      </c>
      <c r="Q319" s="8" t="s">
        <v>43</v>
      </c>
      <c r="R319" s="10" t="s">
        <v>2166</v>
      </c>
      <c r="S319" s="11" t="s">
        <v>2167</v>
      </c>
      <c r="T319" s="6"/>
      <c r="U319" s="27" t="str">
        <f>HYPERLINK("https://media.infra-m.ru/2016/2016155/cover/2016155.jpg", "Обложка")</f>
        <v>Обложка</v>
      </c>
      <c r="V319" s="27" t="str">
        <f>HYPERLINK("https://znanium.com/catalog/product/2016155", "Ознакомиться")</f>
        <v>Ознакомиться</v>
      </c>
      <c r="W319" s="8" t="s">
        <v>568</v>
      </c>
      <c r="X319" s="6"/>
      <c r="Y319" s="6"/>
      <c r="Z319" s="6"/>
      <c r="AA319" s="6" t="s">
        <v>2173</v>
      </c>
    </row>
    <row r="320" spans="1:27" s="4" customFormat="1" ht="44.1" customHeight="1">
      <c r="A320" s="5">
        <v>0</v>
      </c>
      <c r="B320" s="6" t="s">
        <v>2174</v>
      </c>
      <c r="C320" s="13">
        <v>1500</v>
      </c>
      <c r="D320" s="8" t="s">
        <v>2175</v>
      </c>
      <c r="E320" s="8" t="s">
        <v>2094</v>
      </c>
      <c r="F320" s="8" t="s">
        <v>2176</v>
      </c>
      <c r="G320" s="6" t="s">
        <v>67</v>
      </c>
      <c r="H320" s="6" t="s">
        <v>98</v>
      </c>
      <c r="I320" s="8" t="s">
        <v>54</v>
      </c>
      <c r="J320" s="9">
        <v>1</v>
      </c>
      <c r="K320" s="9">
        <v>480</v>
      </c>
      <c r="L320" s="9">
        <v>2019</v>
      </c>
      <c r="M320" s="8" t="s">
        <v>2177</v>
      </c>
      <c r="N320" s="8" t="s">
        <v>56</v>
      </c>
      <c r="O320" s="8" t="s">
        <v>57</v>
      </c>
      <c r="P320" s="6" t="s">
        <v>69</v>
      </c>
      <c r="Q320" s="8" t="s">
        <v>43</v>
      </c>
      <c r="R320" s="10" t="s">
        <v>2178</v>
      </c>
      <c r="S320" s="11"/>
      <c r="T320" s="6"/>
      <c r="U320" s="27" t="str">
        <f>HYPERLINK("https://media.infra-m.ru/1913/1913240/cover/1913240.jpg", "Обложка")</f>
        <v>Обложка</v>
      </c>
      <c r="V320" s="27" t="str">
        <f>HYPERLINK("https://znanium.com/catalog/product/1032618", "Ознакомиться")</f>
        <v>Ознакомиться</v>
      </c>
      <c r="W320" s="8"/>
      <c r="X320" s="6"/>
      <c r="Y320" s="6"/>
      <c r="Z320" s="6"/>
      <c r="AA320" s="6" t="s">
        <v>510</v>
      </c>
    </row>
    <row r="321" spans="1:27" s="4" customFormat="1" ht="51.95" customHeight="1">
      <c r="A321" s="5">
        <v>0</v>
      </c>
      <c r="B321" s="6" t="s">
        <v>2179</v>
      </c>
      <c r="C321" s="13">
        <v>1394</v>
      </c>
      <c r="D321" s="8" t="s">
        <v>2180</v>
      </c>
      <c r="E321" s="8" t="s">
        <v>2094</v>
      </c>
      <c r="F321" s="8" t="s">
        <v>2181</v>
      </c>
      <c r="G321" s="6" t="s">
        <v>37</v>
      </c>
      <c r="H321" s="6" t="s">
        <v>265</v>
      </c>
      <c r="I321" s="8" t="s">
        <v>58</v>
      </c>
      <c r="J321" s="9">
        <v>1</v>
      </c>
      <c r="K321" s="9">
        <v>304</v>
      </c>
      <c r="L321" s="9">
        <v>2024</v>
      </c>
      <c r="M321" s="8" t="s">
        <v>2182</v>
      </c>
      <c r="N321" s="8" t="s">
        <v>56</v>
      </c>
      <c r="O321" s="8" t="s">
        <v>57</v>
      </c>
      <c r="P321" s="6" t="s">
        <v>42</v>
      </c>
      <c r="Q321" s="8" t="s">
        <v>654</v>
      </c>
      <c r="R321" s="10" t="s">
        <v>2183</v>
      </c>
      <c r="S321" s="11" t="s">
        <v>2184</v>
      </c>
      <c r="T321" s="6"/>
      <c r="U321" s="27" t="str">
        <f>HYPERLINK("https://media.infra-m.ru/2104/2104828/cover/2104828.jpg", "Обложка")</f>
        <v>Обложка</v>
      </c>
      <c r="V321" s="27" t="str">
        <f>HYPERLINK("https://znanium.com/catalog/product/1141806", "Ознакомиться")</f>
        <v>Ознакомиться</v>
      </c>
      <c r="W321" s="8" t="s">
        <v>134</v>
      </c>
      <c r="X321" s="6"/>
      <c r="Y321" s="6"/>
      <c r="Z321" s="6"/>
      <c r="AA321" s="6" t="s">
        <v>2185</v>
      </c>
    </row>
    <row r="322" spans="1:27" s="4" customFormat="1" ht="51.95" customHeight="1">
      <c r="A322" s="5">
        <v>0</v>
      </c>
      <c r="B322" s="6" t="s">
        <v>2186</v>
      </c>
      <c r="C322" s="13">
        <v>1474.9</v>
      </c>
      <c r="D322" s="8" t="s">
        <v>2187</v>
      </c>
      <c r="E322" s="8" t="s">
        <v>2094</v>
      </c>
      <c r="F322" s="8" t="s">
        <v>2188</v>
      </c>
      <c r="G322" s="6" t="s">
        <v>37</v>
      </c>
      <c r="H322" s="6" t="s">
        <v>53</v>
      </c>
      <c r="I322" s="8" t="s">
        <v>54</v>
      </c>
      <c r="J322" s="9">
        <v>1</v>
      </c>
      <c r="K322" s="9">
        <v>328</v>
      </c>
      <c r="L322" s="9">
        <v>2023</v>
      </c>
      <c r="M322" s="8" t="s">
        <v>2189</v>
      </c>
      <c r="N322" s="8" t="s">
        <v>56</v>
      </c>
      <c r="O322" s="8" t="s">
        <v>57</v>
      </c>
      <c r="P322" s="6" t="s">
        <v>42</v>
      </c>
      <c r="Q322" s="8" t="s">
        <v>43</v>
      </c>
      <c r="R322" s="10" t="s">
        <v>1377</v>
      </c>
      <c r="S322" s="11" t="s">
        <v>1656</v>
      </c>
      <c r="T322" s="6" t="s">
        <v>277</v>
      </c>
      <c r="U322" s="27" t="str">
        <f>HYPERLINK("https://media.infra-m.ru/1893/1893915/cover/1893915.jpg", "Обложка")</f>
        <v>Обложка</v>
      </c>
      <c r="V322" s="27" t="str">
        <f>HYPERLINK("https://znanium.com/catalog/product/1834664", "Ознакомиться")</f>
        <v>Ознакомиться</v>
      </c>
      <c r="W322" s="8" t="s">
        <v>742</v>
      </c>
      <c r="X322" s="6"/>
      <c r="Y322" s="6"/>
      <c r="Z322" s="6"/>
      <c r="AA322" s="6" t="s">
        <v>1306</v>
      </c>
    </row>
    <row r="323" spans="1:27" s="4" customFormat="1" ht="51.95" customHeight="1">
      <c r="A323" s="5">
        <v>0</v>
      </c>
      <c r="B323" s="6" t="s">
        <v>2190</v>
      </c>
      <c r="C323" s="13">
        <v>1294.9000000000001</v>
      </c>
      <c r="D323" s="8" t="s">
        <v>2191</v>
      </c>
      <c r="E323" s="8" t="s">
        <v>2156</v>
      </c>
      <c r="F323" s="8" t="s">
        <v>2192</v>
      </c>
      <c r="G323" s="6" t="s">
        <v>67</v>
      </c>
      <c r="H323" s="6" t="s">
        <v>53</v>
      </c>
      <c r="I323" s="8" t="s">
        <v>652</v>
      </c>
      <c r="J323" s="9">
        <v>1</v>
      </c>
      <c r="K323" s="9">
        <v>342</v>
      </c>
      <c r="L323" s="9">
        <v>2022</v>
      </c>
      <c r="M323" s="8" t="s">
        <v>2193</v>
      </c>
      <c r="N323" s="8" t="s">
        <v>56</v>
      </c>
      <c r="O323" s="8" t="s">
        <v>57</v>
      </c>
      <c r="P323" s="6" t="s">
        <v>42</v>
      </c>
      <c r="Q323" s="8" t="s">
        <v>654</v>
      </c>
      <c r="R323" s="10" t="s">
        <v>2194</v>
      </c>
      <c r="S323" s="11" t="s">
        <v>1946</v>
      </c>
      <c r="T323" s="6"/>
      <c r="U323" s="27" t="str">
        <f>HYPERLINK("https://media.infra-m.ru/1854/1854221/cover/1854221.jpg", "Обложка")</f>
        <v>Обложка</v>
      </c>
      <c r="V323" s="27" t="str">
        <f>HYPERLINK("https://znanium.com/catalog/product/1190666", "Ознакомиться")</f>
        <v>Ознакомиться</v>
      </c>
      <c r="W323" s="8" t="s">
        <v>134</v>
      </c>
      <c r="X323" s="6"/>
      <c r="Y323" s="6"/>
      <c r="Z323" s="6"/>
      <c r="AA323" s="6" t="s">
        <v>1335</v>
      </c>
    </row>
    <row r="324" spans="1:27" s="4" customFormat="1" ht="51.95" customHeight="1">
      <c r="A324" s="5">
        <v>0</v>
      </c>
      <c r="B324" s="6" t="s">
        <v>2195</v>
      </c>
      <c r="C324" s="13">
        <v>1254</v>
      </c>
      <c r="D324" s="8" t="s">
        <v>2196</v>
      </c>
      <c r="E324" s="8" t="s">
        <v>2094</v>
      </c>
      <c r="F324" s="8" t="s">
        <v>2197</v>
      </c>
      <c r="G324" s="6" t="s">
        <v>67</v>
      </c>
      <c r="H324" s="6" t="s">
        <v>38</v>
      </c>
      <c r="I324" s="8"/>
      <c r="J324" s="9">
        <v>1</v>
      </c>
      <c r="K324" s="9">
        <v>272</v>
      </c>
      <c r="L324" s="9">
        <v>2023</v>
      </c>
      <c r="M324" s="8" t="s">
        <v>2198</v>
      </c>
      <c r="N324" s="8" t="s">
        <v>56</v>
      </c>
      <c r="O324" s="8" t="s">
        <v>57</v>
      </c>
      <c r="P324" s="6" t="s">
        <v>42</v>
      </c>
      <c r="Q324" s="8" t="s">
        <v>43</v>
      </c>
      <c r="R324" s="10" t="s">
        <v>2199</v>
      </c>
      <c r="S324" s="11"/>
      <c r="T324" s="6"/>
      <c r="U324" s="27" t="str">
        <f>HYPERLINK("https://media.infra-m.ru/2067/2067375/cover/2067375.jpg", "Обложка")</f>
        <v>Обложка</v>
      </c>
      <c r="V324" s="27" t="str">
        <f>HYPERLINK("https://znanium.com/catalog/product/1852184", "Ознакомиться")</f>
        <v>Ознакомиться</v>
      </c>
      <c r="W324" s="8" t="s">
        <v>2200</v>
      </c>
      <c r="X324" s="6"/>
      <c r="Y324" s="6"/>
      <c r="Z324" s="6"/>
      <c r="AA324" s="6" t="s">
        <v>84</v>
      </c>
    </row>
    <row r="325" spans="1:27" s="4" customFormat="1" ht="51.95" customHeight="1">
      <c r="A325" s="5">
        <v>0</v>
      </c>
      <c r="B325" s="6" t="s">
        <v>2201</v>
      </c>
      <c r="C325" s="13">
        <v>1234</v>
      </c>
      <c r="D325" s="8" t="s">
        <v>2202</v>
      </c>
      <c r="E325" s="8" t="s">
        <v>2094</v>
      </c>
      <c r="F325" s="8" t="s">
        <v>2197</v>
      </c>
      <c r="G325" s="6" t="s">
        <v>37</v>
      </c>
      <c r="H325" s="6" t="s">
        <v>38</v>
      </c>
      <c r="I325" s="8" t="s">
        <v>652</v>
      </c>
      <c r="J325" s="9">
        <v>1</v>
      </c>
      <c r="K325" s="9">
        <v>272</v>
      </c>
      <c r="L325" s="9">
        <v>2023</v>
      </c>
      <c r="M325" s="8" t="s">
        <v>2203</v>
      </c>
      <c r="N325" s="8" t="s">
        <v>56</v>
      </c>
      <c r="O325" s="8" t="s">
        <v>57</v>
      </c>
      <c r="P325" s="6" t="s">
        <v>42</v>
      </c>
      <c r="Q325" s="8" t="s">
        <v>654</v>
      </c>
      <c r="R325" s="10" t="s">
        <v>2204</v>
      </c>
      <c r="S325" s="11" t="s">
        <v>2205</v>
      </c>
      <c r="T325" s="6"/>
      <c r="U325" s="27" t="str">
        <f>HYPERLINK("https://media.infra-m.ru/2021/2021471/cover/2021471.jpg", "Обложка")</f>
        <v>Обложка</v>
      </c>
      <c r="V325" s="27" t="str">
        <f>HYPERLINK("https://znanium.com/catalog/product/1048495", "Ознакомиться")</f>
        <v>Ознакомиться</v>
      </c>
      <c r="W325" s="8" t="s">
        <v>2200</v>
      </c>
      <c r="X325" s="6"/>
      <c r="Y325" s="6"/>
      <c r="Z325" s="6" t="s">
        <v>657</v>
      </c>
      <c r="AA325" s="6" t="s">
        <v>510</v>
      </c>
    </row>
    <row r="326" spans="1:27" s="4" customFormat="1" ht="51.95" customHeight="1">
      <c r="A326" s="5">
        <v>0</v>
      </c>
      <c r="B326" s="6" t="s">
        <v>2206</v>
      </c>
      <c r="C326" s="7">
        <v>920</v>
      </c>
      <c r="D326" s="8" t="s">
        <v>2207</v>
      </c>
      <c r="E326" s="8" t="s">
        <v>2094</v>
      </c>
      <c r="F326" s="8" t="s">
        <v>2208</v>
      </c>
      <c r="G326" s="6" t="s">
        <v>67</v>
      </c>
      <c r="H326" s="6" t="s">
        <v>53</v>
      </c>
      <c r="I326" s="8" t="s">
        <v>652</v>
      </c>
      <c r="J326" s="9">
        <v>1</v>
      </c>
      <c r="K326" s="9">
        <v>197</v>
      </c>
      <c r="L326" s="9">
        <v>2023</v>
      </c>
      <c r="M326" s="8" t="s">
        <v>2209</v>
      </c>
      <c r="N326" s="8" t="s">
        <v>56</v>
      </c>
      <c r="O326" s="8" t="s">
        <v>57</v>
      </c>
      <c r="P326" s="6" t="s">
        <v>42</v>
      </c>
      <c r="Q326" s="8" t="s">
        <v>654</v>
      </c>
      <c r="R326" s="10" t="s">
        <v>2210</v>
      </c>
      <c r="S326" s="11" t="s">
        <v>2211</v>
      </c>
      <c r="T326" s="6"/>
      <c r="U326" s="27" t="str">
        <f>HYPERLINK("https://media.infra-m.ru/1933/1933147/cover/1933147.jpg", "Обложка")</f>
        <v>Обложка</v>
      </c>
      <c r="V326" s="27" t="str">
        <f>HYPERLINK("https://znanium.com/catalog/product/1933147", "Ознакомиться")</f>
        <v>Ознакомиться</v>
      </c>
      <c r="W326" s="8" t="s">
        <v>118</v>
      </c>
      <c r="X326" s="6"/>
      <c r="Y326" s="6"/>
      <c r="Z326" s="6"/>
      <c r="AA326" s="6" t="s">
        <v>288</v>
      </c>
    </row>
    <row r="327" spans="1:27" s="4" customFormat="1" ht="51.95" customHeight="1">
      <c r="A327" s="5">
        <v>0</v>
      </c>
      <c r="B327" s="6" t="s">
        <v>2212</v>
      </c>
      <c r="C327" s="7">
        <v>124.9</v>
      </c>
      <c r="D327" s="8" t="s">
        <v>2213</v>
      </c>
      <c r="E327" s="8" t="s">
        <v>2214</v>
      </c>
      <c r="F327" s="8" t="s">
        <v>2215</v>
      </c>
      <c r="G327" s="6" t="s">
        <v>26</v>
      </c>
      <c r="H327" s="6" t="s">
        <v>98</v>
      </c>
      <c r="I327" s="8" t="s">
        <v>565</v>
      </c>
      <c r="J327" s="9">
        <v>40</v>
      </c>
      <c r="K327" s="9">
        <v>128</v>
      </c>
      <c r="L327" s="9">
        <v>2016</v>
      </c>
      <c r="M327" s="8" t="s">
        <v>2216</v>
      </c>
      <c r="N327" s="8" t="s">
        <v>56</v>
      </c>
      <c r="O327" s="8" t="s">
        <v>57</v>
      </c>
      <c r="P327" s="6" t="s">
        <v>42</v>
      </c>
      <c r="Q327" s="8" t="s">
        <v>43</v>
      </c>
      <c r="R327" s="10" t="s">
        <v>2217</v>
      </c>
      <c r="S327" s="11"/>
      <c r="T327" s="6"/>
      <c r="U327" s="27" t="str">
        <f>HYPERLINK("https://media.infra-m.ru/0527/0527796/cover/527796.jpg", "Обложка")</f>
        <v>Обложка</v>
      </c>
      <c r="V327" s="27" t="str">
        <f>HYPERLINK("https://znanium.com/catalog/product/217267", "Ознакомиться")</f>
        <v>Ознакомиться</v>
      </c>
      <c r="W327" s="8"/>
      <c r="X327" s="6"/>
      <c r="Y327" s="6"/>
      <c r="Z327" s="6"/>
      <c r="AA327" s="6" t="s">
        <v>2218</v>
      </c>
    </row>
    <row r="328" spans="1:27" s="4" customFormat="1" ht="51.95" customHeight="1">
      <c r="A328" s="5">
        <v>0</v>
      </c>
      <c r="B328" s="6" t="s">
        <v>2219</v>
      </c>
      <c r="C328" s="13">
        <v>1154.9000000000001</v>
      </c>
      <c r="D328" s="8" t="s">
        <v>2220</v>
      </c>
      <c r="E328" s="8" t="s">
        <v>2156</v>
      </c>
      <c r="F328" s="8" t="s">
        <v>2221</v>
      </c>
      <c r="G328" s="6" t="s">
        <v>37</v>
      </c>
      <c r="H328" s="6" t="s">
        <v>53</v>
      </c>
      <c r="I328" s="8" t="s">
        <v>165</v>
      </c>
      <c r="J328" s="9">
        <v>1</v>
      </c>
      <c r="K328" s="9">
        <v>256</v>
      </c>
      <c r="L328" s="9">
        <v>2023</v>
      </c>
      <c r="M328" s="8" t="s">
        <v>2222</v>
      </c>
      <c r="N328" s="8" t="s">
        <v>56</v>
      </c>
      <c r="O328" s="8" t="s">
        <v>57</v>
      </c>
      <c r="P328" s="6" t="s">
        <v>42</v>
      </c>
      <c r="Q328" s="8" t="s">
        <v>43</v>
      </c>
      <c r="R328" s="10" t="s">
        <v>2223</v>
      </c>
      <c r="S328" s="11" t="s">
        <v>2224</v>
      </c>
      <c r="T328" s="6"/>
      <c r="U328" s="27" t="str">
        <f>HYPERLINK("https://media.infra-m.ru/1987/1987578/cover/1987578.jpg", "Обложка")</f>
        <v>Обложка</v>
      </c>
      <c r="V328" s="27" t="str">
        <f>HYPERLINK("https://znanium.com/catalog/product/1228802", "Ознакомиться")</f>
        <v>Ознакомиться</v>
      </c>
      <c r="W328" s="8" t="s">
        <v>2225</v>
      </c>
      <c r="X328" s="6"/>
      <c r="Y328" s="6"/>
      <c r="Z328" s="6"/>
      <c r="AA328" s="6" t="s">
        <v>795</v>
      </c>
    </row>
    <row r="329" spans="1:27" s="4" customFormat="1" ht="51.95" customHeight="1">
      <c r="A329" s="5">
        <v>0</v>
      </c>
      <c r="B329" s="6" t="s">
        <v>2226</v>
      </c>
      <c r="C329" s="13">
        <v>1660</v>
      </c>
      <c r="D329" s="8" t="s">
        <v>2227</v>
      </c>
      <c r="E329" s="8" t="s">
        <v>2228</v>
      </c>
      <c r="F329" s="8" t="s">
        <v>458</v>
      </c>
      <c r="G329" s="6" t="s">
        <v>67</v>
      </c>
      <c r="H329" s="6" t="s">
        <v>53</v>
      </c>
      <c r="I329" s="8" t="s">
        <v>459</v>
      </c>
      <c r="J329" s="9">
        <v>1</v>
      </c>
      <c r="K329" s="9">
        <v>367</v>
      </c>
      <c r="L329" s="9">
        <v>2023</v>
      </c>
      <c r="M329" s="8" t="s">
        <v>2229</v>
      </c>
      <c r="N329" s="8" t="s">
        <v>56</v>
      </c>
      <c r="O329" s="8" t="s">
        <v>57</v>
      </c>
      <c r="P329" s="6" t="s">
        <v>42</v>
      </c>
      <c r="Q329" s="8" t="s">
        <v>43</v>
      </c>
      <c r="R329" s="10" t="s">
        <v>1377</v>
      </c>
      <c r="S329" s="11" t="s">
        <v>2230</v>
      </c>
      <c r="T329" s="6"/>
      <c r="U329" s="27" t="str">
        <f>HYPERLINK("https://media.infra-m.ru/1937/1937176/cover/1937176.jpg", "Обложка")</f>
        <v>Обложка</v>
      </c>
      <c r="V329" s="27" t="str">
        <f>HYPERLINK("https://znanium.com/catalog/product/1937176", "Ознакомиться")</f>
        <v>Ознакомиться</v>
      </c>
      <c r="W329" s="8" t="s">
        <v>287</v>
      </c>
      <c r="X329" s="6"/>
      <c r="Y329" s="6"/>
      <c r="Z329" s="6"/>
      <c r="AA329" s="6" t="s">
        <v>2231</v>
      </c>
    </row>
    <row r="330" spans="1:27" s="4" customFormat="1" ht="44.1" customHeight="1">
      <c r="A330" s="5">
        <v>0</v>
      </c>
      <c r="B330" s="6" t="s">
        <v>2232</v>
      </c>
      <c r="C330" s="7">
        <v>634.9</v>
      </c>
      <c r="D330" s="8" t="s">
        <v>2233</v>
      </c>
      <c r="E330" s="8" t="s">
        <v>2234</v>
      </c>
      <c r="F330" s="8" t="s">
        <v>2235</v>
      </c>
      <c r="G330" s="6" t="s">
        <v>52</v>
      </c>
      <c r="H330" s="6" t="s">
        <v>53</v>
      </c>
      <c r="I330" s="8" t="s">
        <v>165</v>
      </c>
      <c r="J330" s="9">
        <v>1</v>
      </c>
      <c r="K330" s="9">
        <v>168</v>
      </c>
      <c r="L330" s="9">
        <v>2022</v>
      </c>
      <c r="M330" s="8" t="s">
        <v>2236</v>
      </c>
      <c r="N330" s="8" t="s">
        <v>56</v>
      </c>
      <c r="O330" s="8" t="s">
        <v>57</v>
      </c>
      <c r="P330" s="6" t="s">
        <v>42</v>
      </c>
      <c r="Q330" s="8" t="s">
        <v>43</v>
      </c>
      <c r="R330" s="10" t="s">
        <v>2237</v>
      </c>
      <c r="S330" s="11"/>
      <c r="T330" s="6"/>
      <c r="U330" s="27" t="str">
        <f>HYPERLINK("https://media.infra-m.ru/1852/1852253/cover/1852253.jpg", "Обложка")</f>
        <v>Обложка</v>
      </c>
      <c r="V330" s="27" t="str">
        <f>HYPERLINK("https://znanium.com/catalog/product/1065381", "Ознакомиться")</f>
        <v>Ознакомиться</v>
      </c>
      <c r="W330" s="8" t="s">
        <v>134</v>
      </c>
      <c r="X330" s="6"/>
      <c r="Y330" s="6"/>
      <c r="Z330" s="6"/>
      <c r="AA330" s="6" t="s">
        <v>84</v>
      </c>
    </row>
    <row r="331" spans="1:27" s="4" customFormat="1" ht="51.95" customHeight="1">
      <c r="A331" s="5">
        <v>0</v>
      </c>
      <c r="B331" s="6" t="s">
        <v>2238</v>
      </c>
      <c r="C331" s="7">
        <v>79.900000000000006</v>
      </c>
      <c r="D331" s="8" t="s">
        <v>2239</v>
      </c>
      <c r="E331" s="8" t="s">
        <v>2156</v>
      </c>
      <c r="F331" s="8"/>
      <c r="G331" s="6" t="s">
        <v>52</v>
      </c>
      <c r="H331" s="6" t="s">
        <v>98</v>
      </c>
      <c r="I331" s="8" t="s">
        <v>2240</v>
      </c>
      <c r="J331" s="9">
        <v>80</v>
      </c>
      <c r="K331" s="9">
        <v>128</v>
      </c>
      <c r="L331" s="9">
        <v>2017</v>
      </c>
      <c r="M331" s="8" t="s">
        <v>2241</v>
      </c>
      <c r="N331" s="8" t="s">
        <v>56</v>
      </c>
      <c r="O331" s="8" t="s">
        <v>57</v>
      </c>
      <c r="P331" s="6" t="s">
        <v>299</v>
      </c>
      <c r="Q331" s="8" t="s">
        <v>43</v>
      </c>
      <c r="R331" s="10" t="s">
        <v>2242</v>
      </c>
      <c r="S331" s="11"/>
      <c r="T331" s="6"/>
      <c r="U331" s="27" t="str">
        <f>HYPERLINK("https://media.infra-m.ru/0612/0612641/cover/612641.jpg", "Обложка")</f>
        <v>Обложка</v>
      </c>
      <c r="V331" s="27" t="str">
        <f>HYPERLINK("https://znanium.com/catalog/product/612641", "Ознакомиться")</f>
        <v>Ознакомиться</v>
      </c>
      <c r="W331" s="8"/>
      <c r="X331" s="6"/>
      <c r="Y331" s="6"/>
      <c r="Z331" s="6"/>
      <c r="AA331" s="6" t="s">
        <v>1335</v>
      </c>
    </row>
    <row r="332" spans="1:27" s="4" customFormat="1" ht="51.95" customHeight="1">
      <c r="A332" s="5">
        <v>0</v>
      </c>
      <c r="B332" s="6" t="s">
        <v>2243</v>
      </c>
      <c r="C332" s="13">
        <v>1334</v>
      </c>
      <c r="D332" s="8" t="s">
        <v>2244</v>
      </c>
      <c r="E332" s="8" t="s">
        <v>2245</v>
      </c>
      <c r="F332" s="8" t="s">
        <v>2246</v>
      </c>
      <c r="G332" s="6" t="s">
        <v>37</v>
      </c>
      <c r="H332" s="6" t="s">
        <v>867</v>
      </c>
      <c r="I332" s="8" t="s">
        <v>54</v>
      </c>
      <c r="J332" s="9">
        <v>1</v>
      </c>
      <c r="K332" s="9">
        <v>288</v>
      </c>
      <c r="L332" s="9">
        <v>2024</v>
      </c>
      <c r="M332" s="8" t="s">
        <v>2247</v>
      </c>
      <c r="N332" s="8" t="s">
        <v>56</v>
      </c>
      <c r="O332" s="8" t="s">
        <v>57</v>
      </c>
      <c r="P332" s="6" t="s">
        <v>42</v>
      </c>
      <c r="Q332" s="8" t="s">
        <v>43</v>
      </c>
      <c r="R332" s="10" t="s">
        <v>2248</v>
      </c>
      <c r="S332" s="11" t="s">
        <v>2249</v>
      </c>
      <c r="T332" s="6"/>
      <c r="U332" s="27" t="str">
        <f>HYPERLINK("https://media.infra-m.ru/2053/2053220/cover/2053220.jpg", "Обложка")</f>
        <v>Обложка</v>
      </c>
      <c r="V332" s="27" t="str">
        <f>HYPERLINK("https://znanium.com/catalog/product/1002365", "Ознакомиться")</f>
        <v>Ознакомиться</v>
      </c>
      <c r="W332" s="8" t="s">
        <v>2250</v>
      </c>
      <c r="X332" s="6"/>
      <c r="Y332" s="6"/>
      <c r="Z332" s="6"/>
      <c r="AA332" s="6" t="s">
        <v>308</v>
      </c>
    </row>
    <row r="333" spans="1:27" s="4" customFormat="1" ht="42" customHeight="1">
      <c r="A333" s="5">
        <v>0</v>
      </c>
      <c r="B333" s="6" t="s">
        <v>2251</v>
      </c>
      <c r="C333" s="7">
        <v>364.9</v>
      </c>
      <c r="D333" s="8" t="s">
        <v>2252</v>
      </c>
      <c r="E333" s="8" t="s">
        <v>2253</v>
      </c>
      <c r="F333" s="8" t="s">
        <v>2254</v>
      </c>
      <c r="G333" s="6" t="s">
        <v>52</v>
      </c>
      <c r="H333" s="6" t="s">
        <v>597</v>
      </c>
      <c r="I333" s="8"/>
      <c r="J333" s="9">
        <v>1</v>
      </c>
      <c r="K333" s="9">
        <v>80</v>
      </c>
      <c r="L333" s="9">
        <v>2023</v>
      </c>
      <c r="M333" s="8" t="s">
        <v>2255</v>
      </c>
      <c r="N333" s="8" t="s">
        <v>56</v>
      </c>
      <c r="O333" s="8" t="s">
        <v>57</v>
      </c>
      <c r="P333" s="6" t="s">
        <v>116</v>
      </c>
      <c r="Q333" s="8" t="s">
        <v>81</v>
      </c>
      <c r="R333" s="10" t="s">
        <v>2256</v>
      </c>
      <c r="S333" s="11"/>
      <c r="T333" s="6"/>
      <c r="U333" s="27" t="str">
        <f>HYPERLINK("https://media.infra-m.ru/1840/1840584/cover/1840584.jpg", "Обложка")</f>
        <v>Обложка</v>
      </c>
      <c r="V333" s="27" t="str">
        <f>HYPERLINK("https://znanium.com/catalog/product/1043390", "Ознакомиться")</f>
        <v>Ознакомиться</v>
      </c>
      <c r="W333" s="8" t="s">
        <v>2257</v>
      </c>
      <c r="X333" s="6"/>
      <c r="Y333" s="6"/>
      <c r="Z333" s="6"/>
      <c r="AA333" s="6" t="s">
        <v>288</v>
      </c>
    </row>
    <row r="334" spans="1:27" s="4" customFormat="1" ht="44.1" customHeight="1">
      <c r="A334" s="5">
        <v>0</v>
      </c>
      <c r="B334" s="6" t="s">
        <v>2258</v>
      </c>
      <c r="C334" s="7">
        <v>550</v>
      </c>
      <c r="D334" s="8" t="s">
        <v>2259</v>
      </c>
      <c r="E334" s="8" t="s">
        <v>2260</v>
      </c>
      <c r="F334" s="8" t="s">
        <v>1361</v>
      </c>
      <c r="G334" s="6" t="s">
        <v>52</v>
      </c>
      <c r="H334" s="6" t="s">
        <v>53</v>
      </c>
      <c r="I334" s="8" t="s">
        <v>114</v>
      </c>
      <c r="J334" s="9">
        <v>1</v>
      </c>
      <c r="K334" s="9">
        <v>121</v>
      </c>
      <c r="L334" s="9">
        <v>2022</v>
      </c>
      <c r="M334" s="8" t="s">
        <v>2261</v>
      </c>
      <c r="N334" s="8" t="s">
        <v>56</v>
      </c>
      <c r="O334" s="8" t="s">
        <v>57</v>
      </c>
      <c r="P334" s="6" t="s">
        <v>116</v>
      </c>
      <c r="Q334" s="8" t="s">
        <v>81</v>
      </c>
      <c r="R334" s="10" t="s">
        <v>2262</v>
      </c>
      <c r="S334" s="11"/>
      <c r="T334" s="6"/>
      <c r="U334" s="27" t="str">
        <f>HYPERLINK("https://media.infra-m.ru/1946/1946544/cover/1946544.jpg", "Обложка")</f>
        <v>Обложка</v>
      </c>
      <c r="V334" s="27" t="str">
        <f>HYPERLINK("https://znanium.com/catalog/product/1946544", "Ознакомиться")</f>
        <v>Ознакомиться</v>
      </c>
      <c r="W334" s="8" t="s">
        <v>1364</v>
      </c>
      <c r="X334" s="6"/>
      <c r="Y334" s="6"/>
      <c r="Z334" s="6"/>
      <c r="AA334" s="6" t="s">
        <v>84</v>
      </c>
    </row>
    <row r="335" spans="1:27" s="4" customFormat="1" ht="51.95" customHeight="1">
      <c r="A335" s="5">
        <v>0</v>
      </c>
      <c r="B335" s="6" t="s">
        <v>2263</v>
      </c>
      <c r="C335" s="7">
        <v>554.9</v>
      </c>
      <c r="D335" s="8" t="s">
        <v>2264</v>
      </c>
      <c r="E335" s="8" t="s">
        <v>2265</v>
      </c>
      <c r="F335" s="8" t="s">
        <v>2266</v>
      </c>
      <c r="G335" s="6" t="s">
        <v>52</v>
      </c>
      <c r="H335" s="6" t="s">
        <v>53</v>
      </c>
      <c r="I335" s="8" t="s">
        <v>148</v>
      </c>
      <c r="J335" s="9">
        <v>1</v>
      </c>
      <c r="K335" s="9">
        <v>123</v>
      </c>
      <c r="L335" s="9">
        <v>2023</v>
      </c>
      <c r="M335" s="8" t="s">
        <v>2267</v>
      </c>
      <c r="N335" s="8" t="s">
        <v>56</v>
      </c>
      <c r="O335" s="8" t="s">
        <v>57</v>
      </c>
      <c r="P335" s="6" t="s">
        <v>42</v>
      </c>
      <c r="Q335" s="8" t="s">
        <v>150</v>
      </c>
      <c r="R335" s="10" t="s">
        <v>2268</v>
      </c>
      <c r="S335" s="11" t="s">
        <v>2269</v>
      </c>
      <c r="T335" s="6"/>
      <c r="U335" s="27" t="str">
        <f>HYPERLINK("https://media.infra-m.ru/1911/1911825/cover/1911825.jpg", "Обложка")</f>
        <v>Обложка</v>
      </c>
      <c r="V335" s="27" t="str">
        <f>HYPERLINK("https://znanium.com/catalog/product/999884", "Ознакомиться")</f>
        <v>Ознакомиться</v>
      </c>
      <c r="W335" s="8" t="s">
        <v>2270</v>
      </c>
      <c r="X335" s="6"/>
      <c r="Y335" s="6"/>
      <c r="Z335" s="6"/>
      <c r="AA335" s="6" t="s">
        <v>253</v>
      </c>
    </row>
    <row r="336" spans="1:27" s="4" customFormat="1" ht="51.95" customHeight="1">
      <c r="A336" s="5">
        <v>0</v>
      </c>
      <c r="B336" s="6" t="s">
        <v>2271</v>
      </c>
      <c r="C336" s="13">
        <v>1247</v>
      </c>
      <c r="D336" s="8" t="s">
        <v>2272</v>
      </c>
      <c r="E336" s="8" t="s">
        <v>2273</v>
      </c>
      <c r="F336" s="8" t="s">
        <v>2274</v>
      </c>
      <c r="G336" s="6" t="s">
        <v>52</v>
      </c>
      <c r="H336" s="6" t="s">
        <v>38</v>
      </c>
      <c r="I336" s="8" t="s">
        <v>1110</v>
      </c>
      <c r="J336" s="9">
        <v>1</v>
      </c>
      <c r="K336" s="9">
        <v>208</v>
      </c>
      <c r="L336" s="9">
        <v>2024</v>
      </c>
      <c r="M336" s="8" t="s">
        <v>2275</v>
      </c>
      <c r="N336" s="8" t="s">
        <v>56</v>
      </c>
      <c r="O336" s="8" t="s">
        <v>57</v>
      </c>
      <c r="P336" s="6" t="s">
        <v>116</v>
      </c>
      <c r="Q336" s="8" t="s">
        <v>785</v>
      </c>
      <c r="R336" s="10" t="s">
        <v>2276</v>
      </c>
      <c r="S336" s="11"/>
      <c r="T336" s="6"/>
      <c r="U336" s="27" t="str">
        <f>HYPERLINK("https://media.infra-m.ru/2110/2110928/cover/2110928.jpg", "Обложка")</f>
        <v>Обложка</v>
      </c>
      <c r="V336" s="27" t="str">
        <f>HYPERLINK("https://znanium.com/catalog/product/2110928", "Ознакомиться")</f>
        <v>Ознакомиться</v>
      </c>
      <c r="W336" s="8" t="s">
        <v>91</v>
      </c>
      <c r="X336" s="6"/>
      <c r="Y336" s="6"/>
      <c r="Z336" s="6"/>
      <c r="AA336" s="6" t="s">
        <v>308</v>
      </c>
    </row>
    <row r="337" spans="1:27" s="4" customFormat="1" ht="42" customHeight="1">
      <c r="A337" s="5">
        <v>0</v>
      </c>
      <c r="B337" s="6" t="s">
        <v>2277</v>
      </c>
      <c r="C337" s="7">
        <v>804.9</v>
      </c>
      <c r="D337" s="8" t="s">
        <v>2278</v>
      </c>
      <c r="E337" s="8" t="s">
        <v>2279</v>
      </c>
      <c r="F337" s="8" t="s">
        <v>2280</v>
      </c>
      <c r="G337" s="6" t="s">
        <v>52</v>
      </c>
      <c r="H337" s="6" t="s">
        <v>53</v>
      </c>
      <c r="I337" s="8" t="s">
        <v>114</v>
      </c>
      <c r="J337" s="9">
        <v>1</v>
      </c>
      <c r="K337" s="9">
        <v>179</v>
      </c>
      <c r="L337" s="9">
        <v>2023</v>
      </c>
      <c r="M337" s="8" t="s">
        <v>2281</v>
      </c>
      <c r="N337" s="8" t="s">
        <v>56</v>
      </c>
      <c r="O337" s="8" t="s">
        <v>57</v>
      </c>
      <c r="P337" s="6" t="s">
        <v>116</v>
      </c>
      <c r="Q337" s="8" t="s">
        <v>81</v>
      </c>
      <c r="R337" s="10" t="s">
        <v>2282</v>
      </c>
      <c r="S337" s="11"/>
      <c r="T337" s="6"/>
      <c r="U337" s="27" t="str">
        <f>HYPERLINK("https://media.infra-m.ru/1964/1964973/cover/1964973.jpg", "Обложка")</f>
        <v>Обложка</v>
      </c>
      <c r="V337" s="27" t="str">
        <f>HYPERLINK("https://znanium.com/catalog/product/1015972", "Ознакомиться")</f>
        <v>Ознакомиться</v>
      </c>
      <c r="W337" s="8" t="s">
        <v>72</v>
      </c>
      <c r="X337" s="6"/>
      <c r="Y337" s="6"/>
      <c r="Z337" s="6"/>
      <c r="AA337" s="6" t="s">
        <v>601</v>
      </c>
    </row>
    <row r="338" spans="1:27" s="4" customFormat="1" ht="51.95" customHeight="1">
      <c r="A338" s="5">
        <v>0</v>
      </c>
      <c r="B338" s="6" t="s">
        <v>2283</v>
      </c>
      <c r="C338" s="7">
        <v>810</v>
      </c>
      <c r="D338" s="8" t="s">
        <v>2284</v>
      </c>
      <c r="E338" s="8" t="s">
        <v>2285</v>
      </c>
      <c r="F338" s="8" t="s">
        <v>2286</v>
      </c>
      <c r="G338" s="6" t="s">
        <v>37</v>
      </c>
      <c r="H338" s="6" t="s">
        <v>53</v>
      </c>
      <c r="I338" s="8" t="s">
        <v>114</v>
      </c>
      <c r="J338" s="9">
        <v>1</v>
      </c>
      <c r="K338" s="9">
        <v>198</v>
      </c>
      <c r="L338" s="9">
        <v>2022</v>
      </c>
      <c r="M338" s="8" t="s">
        <v>2287</v>
      </c>
      <c r="N338" s="8" t="s">
        <v>56</v>
      </c>
      <c r="O338" s="8" t="s">
        <v>57</v>
      </c>
      <c r="P338" s="6" t="s">
        <v>116</v>
      </c>
      <c r="Q338" s="8" t="s">
        <v>81</v>
      </c>
      <c r="R338" s="10" t="s">
        <v>2288</v>
      </c>
      <c r="S338" s="11"/>
      <c r="T338" s="6" t="s">
        <v>277</v>
      </c>
      <c r="U338" s="27" t="str">
        <f>HYPERLINK("https://media.infra-m.ru/1842/1842566/cover/1842566.jpg", "Обложка")</f>
        <v>Обложка</v>
      </c>
      <c r="V338" s="27" t="str">
        <f>HYPERLINK("https://znanium.com/catalog/product/1842566", "Ознакомиться")</f>
        <v>Ознакомиться</v>
      </c>
      <c r="W338" s="8" t="s">
        <v>72</v>
      </c>
      <c r="X338" s="6"/>
      <c r="Y338" s="6"/>
      <c r="Z338" s="6"/>
      <c r="AA338" s="6" t="s">
        <v>226</v>
      </c>
    </row>
    <row r="339" spans="1:27" s="4" customFormat="1" ht="51.95" customHeight="1">
      <c r="A339" s="5">
        <v>0</v>
      </c>
      <c r="B339" s="6" t="s">
        <v>2289</v>
      </c>
      <c r="C339" s="7">
        <v>740</v>
      </c>
      <c r="D339" s="8" t="s">
        <v>2290</v>
      </c>
      <c r="E339" s="8" t="s">
        <v>2291</v>
      </c>
      <c r="F339" s="8" t="s">
        <v>2292</v>
      </c>
      <c r="G339" s="6" t="s">
        <v>67</v>
      </c>
      <c r="H339" s="6" t="s">
        <v>53</v>
      </c>
      <c r="I339" s="8" t="s">
        <v>165</v>
      </c>
      <c r="J339" s="9">
        <v>1</v>
      </c>
      <c r="K339" s="9">
        <v>256</v>
      </c>
      <c r="L339" s="9">
        <v>2018</v>
      </c>
      <c r="M339" s="8" t="s">
        <v>2293</v>
      </c>
      <c r="N339" s="8" t="s">
        <v>40</v>
      </c>
      <c r="O339" s="8" t="s">
        <v>41</v>
      </c>
      <c r="P339" s="6" t="s">
        <v>42</v>
      </c>
      <c r="Q339" s="8" t="s">
        <v>43</v>
      </c>
      <c r="R339" s="10" t="s">
        <v>2294</v>
      </c>
      <c r="S339" s="11" t="s">
        <v>1694</v>
      </c>
      <c r="T339" s="6" t="s">
        <v>277</v>
      </c>
      <c r="U339" s="27" t="str">
        <f>HYPERLINK("https://media.infra-m.ru/0922/0922736/cover/922736.jpg", "Обложка")</f>
        <v>Обложка</v>
      </c>
      <c r="V339" s="27" t="str">
        <f>HYPERLINK("https://znanium.com/catalog/product/1862852", "Ознакомиться")</f>
        <v>Ознакомиться</v>
      </c>
      <c r="W339" s="8" t="s">
        <v>46</v>
      </c>
      <c r="X339" s="6"/>
      <c r="Y339" s="6"/>
      <c r="Z339" s="6"/>
      <c r="AA339" s="6" t="s">
        <v>288</v>
      </c>
    </row>
    <row r="340" spans="1:27" s="4" customFormat="1" ht="51.95" customHeight="1">
      <c r="A340" s="5">
        <v>0</v>
      </c>
      <c r="B340" s="6" t="s">
        <v>2295</v>
      </c>
      <c r="C340" s="13">
        <v>1724.9</v>
      </c>
      <c r="D340" s="8" t="s">
        <v>2296</v>
      </c>
      <c r="E340" s="8" t="s">
        <v>2297</v>
      </c>
      <c r="F340" s="8" t="s">
        <v>2298</v>
      </c>
      <c r="G340" s="6" t="s">
        <v>37</v>
      </c>
      <c r="H340" s="6" t="s">
        <v>53</v>
      </c>
      <c r="I340" s="8" t="s">
        <v>165</v>
      </c>
      <c r="J340" s="9">
        <v>1</v>
      </c>
      <c r="K340" s="9">
        <v>383</v>
      </c>
      <c r="L340" s="9">
        <v>2023</v>
      </c>
      <c r="M340" s="8" t="s">
        <v>2299</v>
      </c>
      <c r="N340" s="8" t="s">
        <v>40</v>
      </c>
      <c r="O340" s="8" t="s">
        <v>41</v>
      </c>
      <c r="P340" s="6" t="s">
        <v>42</v>
      </c>
      <c r="Q340" s="8" t="s">
        <v>43</v>
      </c>
      <c r="R340" s="10" t="s">
        <v>2294</v>
      </c>
      <c r="S340" s="11" t="s">
        <v>2300</v>
      </c>
      <c r="T340" s="6"/>
      <c r="U340" s="27" t="str">
        <f>HYPERLINK("https://media.infra-m.ru/2001/2001618/cover/2001618.jpg", "Обложка")</f>
        <v>Обложка</v>
      </c>
      <c r="V340" s="27" t="str">
        <f>HYPERLINK("https://znanium.com/catalog/product/1862852", "Ознакомиться")</f>
        <v>Ознакомиться</v>
      </c>
      <c r="W340" s="8" t="s">
        <v>46</v>
      </c>
      <c r="X340" s="6"/>
      <c r="Y340" s="6"/>
      <c r="Z340" s="6"/>
      <c r="AA340" s="6" t="s">
        <v>1214</v>
      </c>
    </row>
    <row r="341" spans="1:27" s="4" customFormat="1" ht="51.95" customHeight="1">
      <c r="A341" s="5">
        <v>0</v>
      </c>
      <c r="B341" s="6" t="s">
        <v>2301</v>
      </c>
      <c r="C341" s="13">
        <v>1730</v>
      </c>
      <c r="D341" s="8" t="s">
        <v>2302</v>
      </c>
      <c r="E341" s="8" t="s">
        <v>2303</v>
      </c>
      <c r="F341" s="8" t="s">
        <v>2304</v>
      </c>
      <c r="G341" s="6" t="s">
        <v>67</v>
      </c>
      <c r="H341" s="6" t="s">
        <v>53</v>
      </c>
      <c r="I341" s="8" t="s">
        <v>165</v>
      </c>
      <c r="J341" s="9">
        <v>1</v>
      </c>
      <c r="K341" s="9">
        <v>384</v>
      </c>
      <c r="L341" s="9">
        <v>2022</v>
      </c>
      <c r="M341" s="8" t="s">
        <v>2305</v>
      </c>
      <c r="N341" s="8" t="s">
        <v>56</v>
      </c>
      <c r="O341" s="8" t="s">
        <v>57</v>
      </c>
      <c r="P341" s="6" t="s">
        <v>42</v>
      </c>
      <c r="Q341" s="8" t="s">
        <v>43</v>
      </c>
      <c r="R341" s="10" t="s">
        <v>1602</v>
      </c>
      <c r="S341" s="11" t="s">
        <v>2306</v>
      </c>
      <c r="T341" s="6" t="s">
        <v>277</v>
      </c>
      <c r="U341" s="27" t="str">
        <f>HYPERLINK("https://media.infra-m.ru/1947/1947403/cover/1947403.jpg", "Обложка")</f>
        <v>Обложка</v>
      </c>
      <c r="V341" s="27" t="str">
        <f>HYPERLINK("https://znanium.com/catalog/product/1905116", "Ознакомиться")</f>
        <v>Ознакомиться</v>
      </c>
      <c r="W341" s="8" t="s">
        <v>691</v>
      </c>
      <c r="X341" s="6"/>
      <c r="Y341" s="6"/>
      <c r="Z341" s="6"/>
      <c r="AA341" s="6" t="s">
        <v>47</v>
      </c>
    </row>
    <row r="342" spans="1:27" s="4" customFormat="1" ht="51.95" customHeight="1">
      <c r="A342" s="5">
        <v>0</v>
      </c>
      <c r="B342" s="6" t="s">
        <v>2307</v>
      </c>
      <c r="C342" s="7">
        <v>854</v>
      </c>
      <c r="D342" s="8" t="s">
        <v>2308</v>
      </c>
      <c r="E342" s="8" t="s">
        <v>2309</v>
      </c>
      <c r="F342" s="8" t="s">
        <v>2310</v>
      </c>
      <c r="G342" s="6" t="s">
        <v>52</v>
      </c>
      <c r="H342" s="6" t="s">
        <v>53</v>
      </c>
      <c r="I342" s="8" t="s">
        <v>165</v>
      </c>
      <c r="J342" s="9">
        <v>1</v>
      </c>
      <c r="K342" s="9">
        <v>185</v>
      </c>
      <c r="L342" s="9">
        <v>2024</v>
      </c>
      <c r="M342" s="8" t="s">
        <v>2311</v>
      </c>
      <c r="N342" s="8" t="s">
        <v>56</v>
      </c>
      <c r="O342" s="8" t="s">
        <v>57</v>
      </c>
      <c r="P342" s="6" t="s">
        <v>42</v>
      </c>
      <c r="Q342" s="8" t="s">
        <v>43</v>
      </c>
      <c r="R342" s="10" t="s">
        <v>2312</v>
      </c>
      <c r="S342" s="11" t="s">
        <v>2313</v>
      </c>
      <c r="T342" s="6"/>
      <c r="U342" s="27" t="str">
        <f>HYPERLINK("https://media.infra-m.ru/2079/2079634/cover/2079634.jpg", "Обложка")</f>
        <v>Обложка</v>
      </c>
      <c r="V342" s="27" t="str">
        <f>HYPERLINK("https://znanium.com/catalog/product/1841675", "Ознакомиться")</f>
        <v>Ознакомиться</v>
      </c>
      <c r="W342" s="8" t="s">
        <v>2314</v>
      </c>
      <c r="X342" s="6"/>
      <c r="Y342" s="6"/>
      <c r="Z342" s="6"/>
      <c r="AA342" s="6" t="s">
        <v>1120</v>
      </c>
    </row>
    <row r="343" spans="1:27" s="4" customFormat="1" ht="51.95" customHeight="1">
      <c r="A343" s="5">
        <v>0</v>
      </c>
      <c r="B343" s="6" t="s">
        <v>2315</v>
      </c>
      <c r="C343" s="13">
        <v>1254.9000000000001</v>
      </c>
      <c r="D343" s="8" t="s">
        <v>2316</v>
      </c>
      <c r="E343" s="8" t="s">
        <v>2317</v>
      </c>
      <c r="F343" s="8" t="s">
        <v>2318</v>
      </c>
      <c r="G343" s="6" t="s">
        <v>37</v>
      </c>
      <c r="H343" s="6" t="s">
        <v>53</v>
      </c>
      <c r="I343" s="8" t="s">
        <v>165</v>
      </c>
      <c r="J343" s="9">
        <v>1</v>
      </c>
      <c r="K343" s="9">
        <v>370</v>
      </c>
      <c r="L343" s="9">
        <v>2020</v>
      </c>
      <c r="M343" s="8" t="s">
        <v>2319</v>
      </c>
      <c r="N343" s="8" t="s">
        <v>56</v>
      </c>
      <c r="O343" s="8" t="s">
        <v>57</v>
      </c>
      <c r="P343" s="6" t="s">
        <v>42</v>
      </c>
      <c r="Q343" s="8" t="s">
        <v>43</v>
      </c>
      <c r="R343" s="10" t="s">
        <v>2320</v>
      </c>
      <c r="S343" s="11" t="s">
        <v>60</v>
      </c>
      <c r="T343" s="6"/>
      <c r="U343" s="27" t="str">
        <f>HYPERLINK("https://media.infra-m.ru/1068/1068925/cover/1068925.jpg", "Обложка")</f>
        <v>Обложка</v>
      </c>
      <c r="V343" s="27" t="str">
        <f>HYPERLINK("https://znanium.com/catalog/product/1839692", "Ознакомиться")</f>
        <v>Ознакомиться</v>
      </c>
      <c r="W343" s="8" t="s">
        <v>2314</v>
      </c>
      <c r="X343" s="6"/>
      <c r="Y343" s="6"/>
      <c r="Z343" s="6"/>
      <c r="AA343" s="6" t="s">
        <v>201</v>
      </c>
    </row>
    <row r="344" spans="1:27" s="4" customFormat="1" ht="51.95" customHeight="1">
      <c r="A344" s="5">
        <v>0</v>
      </c>
      <c r="B344" s="6" t="s">
        <v>2321</v>
      </c>
      <c r="C344" s="13">
        <v>1914.9</v>
      </c>
      <c r="D344" s="8" t="s">
        <v>2322</v>
      </c>
      <c r="E344" s="8" t="s">
        <v>2323</v>
      </c>
      <c r="F344" s="8" t="s">
        <v>2324</v>
      </c>
      <c r="G344" s="6" t="s">
        <v>37</v>
      </c>
      <c r="H344" s="6" t="s">
        <v>53</v>
      </c>
      <c r="I344" s="8" t="s">
        <v>165</v>
      </c>
      <c r="J344" s="9">
        <v>1</v>
      </c>
      <c r="K344" s="9">
        <v>491</v>
      </c>
      <c r="L344" s="9">
        <v>2022</v>
      </c>
      <c r="M344" s="8" t="s">
        <v>2325</v>
      </c>
      <c r="N344" s="8" t="s">
        <v>56</v>
      </c>
      <c r="O344" s="8" t="s">
        <v>57</v>
      </c>
      <c r="P344" s="6" t="s">
        <v>116</v>
      </c>
      <c r="Q344" s="8" t="s">
        <v>43</v>
      </c>
      <c r="R344" s="10" t="s">
        <v>2326</v>
      </c>
      <c r="S344" s="11"/>
      <c r="T344" s="6"/>
      <c r="U344" s="27" t="str">
        <f>HYPERLINK("https://media.infra-m.ru/1841/1841677/cover/1841677.jpg", "Обложка")</f>
        <v>Обложка</v>
      </c>
      <c r="V344" s="27" t="str">
        <f>HYPERLINK("https://znanium.com/catalog/product/1018283", "Ознакомиться")</f>
        <v>Ознакомиться</v>
      </c>
      <c r="W344" s="8" t="s">
        <v>2327</v>
      </c>
      <c r="X344" s="6"/>
      <c r="Y344" s="6"/>
      <c r="Z344" s="6"/>
      <c r="AA344" s="6" t="s">
        <v>308</v>
      </c>
    </row>
    <row r="345" spans="1:27" s="4" customFormat="1" ht="51.95" customHeight="1">
      <c r="A345" s="5">
        <v>0</v>
      </c>
      <c r="B345" s="6" t="s">
        <v>2328</v>
      </c>
      <c r="C345" s="13">
        <v>1174</v>
      </c>
      <c r="D345" s="8" t="s">
        <v>2329</v>
      </c>
      <c r="E345" s="8" t="s">
        <v>2330</v>
      </c>
      <c r="F345" s="8" t="s">
        <v>2331</v>
      </c>
      <c r="G345" s="6" t="s">
        <v>37</v>
      </c>
      <c r="H345" s="6" t="s">
        <v>53</v>
      </c>
      <c r="I345" s="8" t="s">
        <v>148</v>
      </c>
      <c r="J345" s="9">
        <v>1</v>
      </c>
      <c r="K345" s="9">
        <v>256</v>
      </c>
      <c r="L345" s="9">
        <v>2018</v>
      </c>
      <c r="M345" s="8" t="s">
        <v>2332</v>
      </c>
      <c r="N345" s="8" t="s">
        <v>56</v>
      </c>
      <c r="O345" s="8" t="s">
        <v>57</v>
      </c>
      <c r="P345" s="6" t="s">
        <v>42</v>
      </c>
      <c r="Q345" s="8" t="s">
        <v>150</v>
      </c>
      <c r="R345" s="10" t="s">
        <v>2333</v>
      </c>
      <c r="S345" s="11"/>
      <c r="T345" s="6"/>
      <c r="U345" s="27" t="str">
        <f>HYPERLINK("https://media.infra-m.ru/0960/0960026/cover/960026.jpg", "Обложка")</f>
        <v>Обложка</v>
      </c>
      <c r="V345" s="27" t="str">
        <f>HYPERLINK("https://znanium.com/catalog/product/960026", "Ознакомиться")</f>
        <v>Ознакомиться</v>
      </c>
      <c r="W345" s="8" t="s">
        <v>2327</v>
      </c>
      <c r="X345" s="6"/>
      <c r="Y345" s="6"/>
      <c r="Z345" s="6"/>
      <c r="AA345" s="6" t="s">
        <v>47</v>
      </c>
    </row>
    <row r="346" spans="1:27" s="4" customFormat="1" ht="51.95" customHeight="1">
      <c r="A346" s="5">
        <v>0</v>
      </c>
      <c r="B346" s="6" t="s">
        <v>2334</v>
      </c>
      <c r="C346" s="13">
        <v>1500</v>
      </c>
      <c r="D346" s="8" t="s">
        <v>2335</v>
      </c>
      <c r="E346" s="8" t="s">
        <v>2336</v>
      </c>
      <c r="F346" s="8" t="s">
        <v>2337</v>
      </c>
      <c r="G346" s="6" t="s">
        <v>67</v>
      </c>
      <c r="H346" s="6" t="s">
        <v>53</v>
      </c>
      <c r="I346" s="8" t="s">
        <v>148</v>
      </c>
      <c r="J346" s="9">
        <v>1</v>
      </c>
      <c r="K346" s="9">
        <v>441</v>
      </c>
      <c r="L346" s="9">
        <v>2020</v>
      </c>
      <c r="M346" s="8" t="s">
        <v>2338</v>
      </c>
      <c r="N346" s="8" t="s">
        <v>56</v>
      </c>
      <c r="O346" s="8" t="s">
        <v>57</v>
      </c>
      <c r="P346" s="6" t="s">
        <v>116</v>
      </c>
      <c r="Q346" s="8" t="s">
        <v>150</v>
      </c>
      <c r="R346" s="10" t="s">
        <v>2339</v>
      </c>
      <c r="S346" s="11"/>
      <c r="T346" s="6"/>
      <c r="U346" s="27" t="str">
        <f>HYPERLINK("https://media.infra-m.ru/1086/1086769/cover/1086769.jpg", "Обложка")</f>
        <v>Обложка</v>
      </c>
      <c r="V346" s="27" t="str">
        <f>HYPERLINK("https://znanium.com/catalog/product/1086769", "Ознакомиться")</f>
        <v>Ознакомиться</v>
      </c>
      <c r="W346" s="8" t="s">
        <v>2327</v>
      </c>
      <c r="X346" s="6"/>
      <c r="Y346" s="6"/>
      <c r="Z346" s="6"/>
      <c r="AA346" s="6" t="s">
        <v>47</v>
      </c>
    </row>
    <row r="347" spans="1:27" s="4" customFormat="1" ht="51.95" customHeight="1">
      <c r="A347" s="5">
        <v>0</v>
      </c>
      <c r="B347" s="6" t="s">
        <v>2340</v>
      </c>
      <c r="C347" s="7">
        <v>924</v>
      </c>
      <c r="D347" s="8" t="s">
        <v>2341</v>
      </c>
      <c r="E347" s="8" t="s">
        <v>2342</v>
      </c>
      <c r="F347" s="8" t="s">
        <v>2343</v>
      </c>
      <c r="G347" s="6" t="s">
        <v>67</v>
      </c>
      <c r="H347" s="6" t="s">
        <v>53</v>
      </c>
      <c r="I347" s="8" t="s">
        <v>165</v>
      </c>
      <c r="J347" s="9">
        <v>1</v>
      </c>
      <c r="K347" s="9">
        <v>203</v>
      </c>
      <c r="L347" s="9">
        <v>2023</v>
      </c>
      <c r="M347" s="8" t="s">
        <v>2344</v>
      </c>
      <c r="N347" s="8" t="s">
        <v>56</v>
      </c>
      <c r="O347" s="8" t="s">
        <v>57</v>
      </c>
      <c r="P347" s="6" t="s">
        <v>42</v>
      </c>
      <c r="Q347" s="8" t="s">
        <v>43</v>
      </c>
      <c r="R347" s="10" t="s">
        <v>275</v>
      </c>
      <c r="S347" s="11" t="s">
        <v>2345</v>
      </c>
      <c r="T347" s="6"/>
      <c r="U347" s="27" t="str">
        <f>HYPERLINK("https://media.infra-m.ru/1962/1962491/cover/1962491.jpg", "Обложка")</f>
        <v>Обложка</v>
      </c>
      <c r="V347" s="27" t="str">
        <f>HYPERLINK("https://znanium.com/catalog/product/1947409", "Ознакомиться")</f>
        <v>Ознакомиться</v>
      </c>
      <c r="W347" s="8" t="s">
        <v>2346</v>
      </c>
      <c r="X347" s="6"/>
      <c r="Y347" s="6"/>
      <c r="Z347" s="6"/>
      <c r="AA347" s="6" t="s">
        <v>510</v>
      </c>
    </row>
    <row r="348" spans="1:27" s="4" customFormat="1" ht="44.1" customHeight="1">
      <c r="A348" s="5">
        <v>0</v>
      </c>
      <c r="B348" s="6" t="s">
        <v>2347</v>
      </c>
      <c r="C348" s="13">
        <v>1524.9</v>
      </c>
      <c r="D348" s="8" t="s">
        <v>2348</v>
      </c>
      <c r="E348" s="8" t="s">
        <v>2349</v>
      </c>
      <c r="F348" s="8" t="s">
        <v>2350</v>
      </c>
      <c r="G348" s="6" t="s">
        <v>52</v>
      </c>
      <c r="H348" s="6" t="s">
        <v>53</v>
      </c>
      <c r="I348" s="8" t="s">
        <v>114</v>
      </c>
      <c r="J348" s="9">
        <v>1</v>
      </c>
      <c r="K348" s="9">
        <v>338</v>
      </c>
      <c r="L348" s="9">
        <v>2023</v>
      </c>
      <c r="M348" s="8" t="s">
        <v>2351</v>
      </c>
      <c r="N348" s="8" t="s">
        <v>56</v>
      </c>
      <c r="O348" s="8" t="s">
        <v>57</v>
      </c>
      <c r="P348" s="6" t="s">
        <v>116</v>
      </c>
      <c r="Q348" s="8" t="s">
        <v>81</v>
      </c>
      <c r="R348" s="10" t="s">
        <v>285</v>
      </c>
      <c r="S348" s="11"/>
      <c r="T348" s="6"/>
      <c r="U348" s="27" t="str">
        <f>HYPERLINK("https://media.infra-m.ru/1965/1965767/cover/1965767.jpg", "Обложка")</f>
        <v>Обложка</v>
      </c>
      <c r="V348" s="27" t="str">
        <f>HYPERLINK("https://znanium.com/catalog/product/1021947", "Ознакомиться")</f>
        <v>Ознакомиться</v>
      </c>
      <c r="W348" s="8" t="s">
        <v>2314</v>
      </c>
      <c r="X348" s="6"/>
      <c r="Y348" s="6"/>
      <c r="Z348" s="6"/>
      <c r="AA348" s="6" t="s">
        <v>510</v>
      </c>
    </row>
    <row r="349" spans="1:27" s="4" customFormat="1" ht="51.95" customHeight="1">
      <c r="A349" s="5">
        <v>0</v>
      </c>
      <c r="B349" s="6" t="s">
        <v>2352</v>
      </c>
      <c r="C349" s="7">
        <v>720</v>
      </c>
      <c r="D349" s="8" t="s">
        <v>2353</v>
      </c>
      <c r="E349" s="8" t="s">
        <v>2354</v>
      </c>
      <c r="F349" s="8" t="s">
        <v>2355</v>
      </c>
      <c r="G349" s="6" t="s">
        <v>67</v>
      </c>
      <c r="H349" s="6" t="s">
        <v>597</v>
      </c>
      <c r="I349" s="8"/>
      <c r="J349" s="9">
        <v>1</v>
      </c>
      <c r="K349" s="9">
        <v>160</v>
      </c>
      <c r="L349" s="9">
        <v>2023</v>
      </c>
      <c r="M349" s="8" t="s">
        <v>2356</v>
      </c>
      <c r="N349" s="8" t="s">
        <v>56</v>
      </c>
      <c r="O349" s="8" t="s">
        <v>57</v>
      </c>
      <c r="P349" s="6" t="s">
        <v>116</v>
      </c>
      <c r="Q349" s="8" t="s">
        <v>81</v>
      </c>
      <c r="R349" s="10" t="s">
        <v>117</v>
      </c>
      <c r="S349" s="11"/>
      <c r="T349" s="6"/>
      <c r="U349" s="27" t="str">
        <f>HYPERLINK("https://media.infra-m.ru/1860/1860840/cover/1860840.jpg", "Обложка")</f>
        <v>Обложка</v>
      </c>
      <c r="V349" s="27" t="str">
        <f>HYPERLINK("https://znanium.com/catalog/product/1860840", "Ознакомиться")</f>
        <v>Ознакомиться</v>
      </c>
      <c r="W349" s="8" t="s">
        <v>1748</v>
      </c>
      <c r="X349" s="6"/>
      <c r="Y349" s="6"/>
      <c r="Z349" s="6"/>
      <c r="AA349" s="6" t="s">
        <v>73</v>
      </c>
    </row>
    <row r="350" spans="1:27" s="4" customFormat="1" ht="51.95" customHeight="1">
      <c r="A350" s="5">
        <v>0</v>
      </c>
      <c r="B350" s="6" t="s">
        <v>2357</v>
      </c>
      <c r="C350" s="13">
        <v>1020</v>
      </c>
      <c r="D350" s="8" t="s">
        <v>2358</v>
      </c>
      <c r="E350" s="8" t="s">
        <v>2359</v>
      </c>
      <c r="F350" s="8" t="s">
        <v>2360</v>
      </c>
      <c r="G350" s="6" t="s">
        <v>67</v>
      </c>
      <c r="H350" s="6" t="s">
        <v>53</v>
      </c>
      <c r="I350" s="8" t="s">
        <v>165</v>
      </c>
      <c r="J350" s="9">
        <v>1</v>
      </c>
      <c r="K350" s="9">
        <v>227</v>
      </c>
      <c r="L350" s="9">
        <v>2023</v>
      </c>
      <c r="M350" s="8" t="s">
        <v>2361</v>
      </c>
      <c r="N350" s="8" t="s">
        <v>56</v>
      </c>
      <c r="O350" s="8" t="s">
        <v>57</v>
      </c>
      <c r="P350" s="6" t="s">
        <v>42</v>
      </c>
      <c r="Q350" s="8" t="s">
        <v>43</v>
      </c>
      <c r="R350" s="10" t="s">
        <v>285</v>
      </c>
      <c r="S350" s="11" t="s">
        <v>60</v>
      </c>
      <c r="T350" s="6"/>
      <c r="U350" s="27" t="str">
        <f>HYPERLINK("https://media.infra-m.ru/1897/1897693/cover/1897693.jpg", "Обложка")</f>
        <v>Обложка</v>
      </c>
      <c r="V350" s="27" t="str">
        <f>HYPERLINK("https://znanium.com/catalog/product/1897693", "Ознакомиться")</f>
        <v>Ознакомиться</v>
      </c>
      <c r="W350" s="8" t="s">
        <v>583</v>
      </c>
      <c r="X350" s="6"/>
      <c r="Y350" s="6"/>
      <c r="Z350" s="6"/>
      <c r="AA350" s="6" t="s">
        <v>253</v>
      </c>
    </row>
    <row r="351" spans="1:27" s="4" customFormat="1" ht="51.95" customHeight="1">
      <c r="A351" s="5">
        <v>0</v>
      </c>
      <c r="B351" s="6" t="s">
        <v>2362</v>
      </c>
      <c r="C351" s="13">
        <v>1030</v>
      </c>
      <c r="D351" s="8" t="s">
        <v>2363</v>
      </c>
      <c r="E351" s="8" t="s">
        <v>2359</v>
      </c>
      <c r="F351" s="8" t="s">
        <v>2364</v>
      </c>
      <c r="G351" s="6" t="s">
        <v>67</v>
      </c>
      <c r="H351" s="6" t="s">
        <v>53</v>
      </c>
      <c r="I351" s="8" t="s">
        <v>54</v>
      </c>
      <c r="J351" s="9">
        <v>1</v>
      </c>
      <c r="K351" s="9">
        <v>222</v>
      </c>
      <c r="L351" s="9">
        <v>2024</v>
      </c>
      <c r="M351" s="8" t="s">
        <v>2365</v>
      </c>
      <c r="N351" s="8" t="s">
        <v>56</v>
      </c>
      <c r="O351" s="8" t="s">
        <v>57</v>
      </c>
      <c r="P351" s="6" t="s">
        <v>42</v>
      </c>
      <c r="Q351" s="8" t="s">
        <v>58</v>
      </c>
      <c r="R351" s="10" t="s">
        <v>1602</v>
      </c>
      <c r="S351" s="11" t="s">
        <v>2062</v>
      </c>
      <c r="T351" s="6" t="s">
        <v>277</v>
      </c>
      <c r="U351" s="27" t="str">
        <f>HYPERLINK("https://media.infra-m.ru/2076/2076927/cover/2076927.jpg", "Обложка")</f>
        <v>Обложка</v>
      </c>
      <c r="V351" s="27" t="str">
        <f>HYPERLINK("https://znanium.com/catalog/product/2076927", "Ознакомиться")</f>
        <v>Ознакомиться</v>
      </c>
      <c r="W351" s="8" t="s">
        <v>2366</v>
      </c>
      <c r="X351" s="6"/>
      <c r="Y351" s="6"/>
      <c r="Z351" s="6"/>
      <c r="AA351" s="6" t="s">
        <v>84</v>
      </c>
    </row>
    <row r="352" spans="1:27" s="4" customFormat="1" ht="51.95" customHeight="1">
      <c r="A352" s="5">
        <v>0</v>
      </c>
      <c r="B352" s="6" t="s">
        <v>2367</v>
      </c>
      <c r="C352" s="7">
        <v>494.9</v>
      </c>
      <c r="D352" s="8" t="s">
        <v>2368</v>
      </c>
      <c r="E352" s="8" t="s">
        <v>2369</v>
      </c>
      <c r="F352" s="8" t="s">
        <v>2310</v>
      </c>
      <c r="G352" s="6" t="s">
        <v>52</v>
      </c>
      <c r="H352" s="6" t="s">
        <v>867</v>
      </c>
      <c r="I352" s="8" t="s">
        <v>54</v>
      </c>
      <c r="J352" s="9">
        <v>24</v>
      </c>
      <c r="K352" s="9">
        <v>184</v>
      </c>
      <c r="L352" s="9">
        <v>2017</v>
      </c>
      <c r="M352" s="8" t="s">
        <v>2370</v>
      </c>
      <c r="N352" s="8" t="s">
        <v>56</v>
      </c>
      <c r="O352" s="8" t="s">
        <v>57</v>
      </c>
      <c r="P352" s="6" t="s">
        <v>42</v>
      </c>
      <c r="Q352" s="8" t="s">
        <v>43</v>
      </c>
      <c r="R352" s="10" t="s">
        <v>2312</v>
      </c>
      <c r="S352" s="11"/>
      <c r="T352" s="6"/>
      <c r="U352" s="27" t="str">
        <f>HYPERLINK("https://media.infra-m.ru/0558/0558416/cover/558416.jpg", "Обложка")</f>
        <v>Обложка</v>
      </c>
      <c r="V352" s="27" t="str">
        <f>HYPERLINK("https://znanium.com/catalog/product/1841675", "Ознакомиться")</f>
        <v>Ознакомиться</v>
      </c>
      <c r="W352" s="8" t="s">
        <v>2314</v>
      </c>
      <c r="X352" s="6"/>
      <c r="Y352" s="6"/>
      <c r="Z352" s="6"/>
      <c r="AA352" s="6" t="s">
        <v>308</v>
      </c>
    </row>
    <row r="353" spans="1:27" s="4" customFormat="1" ht="51.95" customHeight="1">
      <c r="A353" s="5">
        <v>0</v>
      </c>
      <c r="B353" s="6" t="s">
        <v>2371</v>
      </c>
      <c r="C353" s="13">
        <v>1370</v>
      </c>
      <c r="D353" s="8" t="s">
        <v>2372</v>
      </c>
      <c r="E353" s="8" t="s">
        <v>2373</v>
      </c>
      <c r="F353" s="8" t="s">
        <v>2374</v>
      </c>
      <c r="G353" s="6" t="s">
        <v>52</v>
      </c>
      <c r="H353" s="6" t="s">
        <v>53</v>
      </c>
      <c r="I353" s="8" t="s">
        <v>114</v>
      </c>
      <c r="J353" s="9">
        <v>1</v>
      </c>
      <c r="K353" s="9">
        <v>304</v>
      </c>
      <c r="L353" s="9">
        <v>2023</v>
      </c>
      <c r="M353" s="8" t="s">
        <v>2375</v>
      </c>
      <c r="N353" s="8" t="s">
        <v>56</v>
      </c>
      <c r="O353" s="8" t="s">
        <v>57</v>
      </c>
      <c r="P353" s="6" t="s">
        <v>116</v>
      </c>
      <c r="Q353" s="8" t="s">
        <v>81</v>
      </c>
      <c r="R353" s="10" t="s">
        <v>624</v>
      </c>
      <c r="S353" s="11"/>
      <c r="T353" s="6"/>
      <c r="U353" s="27" t="str">
        <f>HYPERLINK("https://media.infra-m.ru/1875/1875454/cover/1875454.jpg", "Обложка")</f>
        <v>Обложка</v>
      </c>
      <c r="V353" s="27" t="str">
        <f>HYPERLINK("https://znanium.com/catalog/product/1875454", "Ознакомиться")</f>
        <v>Ознакомиться</v>
      </c>
      <c r="W353" s="8" t="s">
        <v>2314</v>
      </c>
      <c r="X353" s="6"/>
      <c r="Y353" s="6"/>
      <c r="Z353" s="6"/>
      <c r="AA353" s="6" t="s">
        <v>93</v>
      </c>
    </row>
    <row r="354" spans="1:27" s="4" customFormat="1" ht="42" customHeight="1">
      <c r="A354" s="5">
        <v>0</v>
      </c>
      <c r="B354" s="6" t="s">
        <v>2376</v>
      </c>
      <c r="C354" s="7">
        <v>534.9</v>
      </c>
      <c r="D354" s="8" t="s">
        <v>2377</v>
      </c>
      <c r="E354" s="8" t="s">
        <v>2378</v>
      </c>
      <c r="F354" s="8" t="s">
        <v>2379</v>
      </c>
      <c r="G354" s="6" t="s">
        <v>52</v>
      </c>
      <c r="H354" s="6" t="s">
        <v>867</v>
      </c>
      <c r="I354" s="8" t="s">
        <v>114</v>
      </c>
      <c r="J354" s="9">
        <v>1</v>
      </c>
      <c r="K354" s="9">
        <v>157</v>
      </c>
      <c r="L354" s="9">
        <v>2019</v>
      </c>
      <c r="M354" s="8" t="s">
        <v>2380</v>
      </c>
      <c r="N354" s="8" t="s">
        <v>56</v>
      </c>
      <c r="O354" s="8" t="s">
        <v>57</v>
      </c>
      <c r="P354" s="6" t="s">
        <v>116</v>
      </c>
      <c r="Q354" s="8" t="s">
        <v>81</v>
      </c>
      <c r="R354" s="10" t="s">
        <v>2381</v>
      </c>
      <c r="S354" s="11"/>
      <c r="T354" s="6"/>
      <c r="U354" s="27" t="str">
        <f>HYPERLINK("https://media.infra-m.ru/1002/1002622/cover/1002622.jpg", "Обложка")</f>
        <v>Обложка</v>
      </c>
      <c r="V354" s="27" t="str">
        <f>HYPERLINK("https://znanium.com/catalog/product/1002622", "Ознакомиться")</f>
        <v>Ознакомиться</v>
      </c>
      <c r="W354" s="8" t="s">
        <v>2382</v>
      </c>
      <c r="X354" s="6"/>
      <c r="Y354" s="6"/>
      <c r="Z354" s="6"/>
      <c r="AA354" s="6" t="s">
        <v>308</v>
      </c>
    </row>
    <row r="355" spans="1:27" s="4" customFormat="1" ht="51.95" customHeight="1">
      <c r="A355" s="5">
        <v>0</v>
      </c>
      <c r="B355" s="6" t="s">
        <v>2383</v>
      </c>
      <c r="C355" s="7">
        <v>690</v>
      </c>
      <c r="D355" s="8" t="s">
        <v>2384</v>
      </c>
      <c r="E355" s="8" t="s">
        <v>2385</v>
      </c>
      <c r="F355" s="8" t="s">
        <v>2386</v>
      </c>
      <c r="G355" s="6" t="s">
        <v>67</v>
      </c>
      <c r="H355" s="6" t="s">
        <v>38</v>
      </c>
      <c r="I355" s="8"/>
      <c r="J355" s="9">
        <v>1</v>
      </c>
      <c r="K355" s="9">
        <v>168</v>
      </c>
      <c r="L355" s="9">
        <v>2022</v>
      </c>
      <c r="M355" s="8" t="s">
        <v>2387</v>
      </c>
      <c r="N355" s="8" t="s">
        <v>40</v>
      </c>
      <c r="O355" s="8" t="s">
        <v>41</v>
      </c>
      <c r="P355" s="6" t="s">
        <v>69</v>
      </c>
      <c r="Q355" s="8" t="s">
        <v>43</v>
      </c>
      <c r="R355" s="10" t="s">
        <v>2388</v>
      </c>
      <c r="S355" s="11"/>
      <c r="T355" s="6"/>
      <c r="U355" s="27" t="str">
        <f>HYPERLINK("https://media.infra-m.ru/1834/1834412/cover/1834412.jpg", "Обложка")</f>
        <v>Обложка</v>
      </c>
      <c r="V355" s="27" t="str">
        <f>HYPERLINK("https://znanium.com/catalog/product/1834412", "Ознакомиться")</f>
        <v>Ознакомиться</v>
      </c>
      <c r="W355" s="8" t="s">
        <v>46</v>
      </c>
      <c r="X355" s="6"/>
      <c r="Y355" s="6"/>
      <c r="Z355" s="6"/>
      <c r="AA355" s="6" t="s">
        <v>253</v>
      </c>
    </row>
    <row r="356" spans="1:27" s="4" customFormat="1" ht="42" customHeight="1">
      <c r="A356" s="5">
        <v>0</v>
      </c>
      <c r="B356" s="6" t="s">
        <v>2389</v>
      </c>
      <c r="C356" s="7">
        <v>550</v>
      </c>
      <c r="D356" s="8" t="s">
        <v>2390</v>
      </c>
      <c r="E356" s="8" t="s">
        <v>2391</v>
      </c>
      <c r="F356" s="8" t="s">
        <v>2392</v>
      </c>
      <c r="G356" s="6" t="s">
        <v>52</v>
      </c>
      <c r="H356" s="6" t="s">
        <v>53</v>
      </c>
      <c r="I356" s="8" t="s">
        <v>114</v>
      </c>
      <c r="J356" s="9">
        <v>1</v>
      </c>
      <c r="K356" s="9">
        <v>120</v>
      </c>
      <c r="L356" s="9">
        <v>2024</v>
      </c>
      <c r="M356" s="8" t="s">
        <v>2393</v>
      </c>
      <c r="N356" s="8" t="s">
        <v>56</v>
      </c>
      <c r="O356" s="8" t="s">
        <v>57</v>
      </c>
      <c r="P356" s="6" t="s">
        <v>116</v>
      </c>
      <c r="Q356" s="8" t="s">
        <v>81</v>
      </c>
      <c r="R356" s="10" t="s">
        <v>2394</v>
      </c>
      <c r="S356" s="11"/>
      <c r="T356" s="6"/>
      <c r="U356" s="27" t="str">
        <f>HYPERLINK("https://media.infra-m.ru/2117/2117138/cover/2117138.jpg", "Обложка")</f>
        <v>Обложка</v>
      </c>
      <c r="V356" s="27" t="str">
        <f>HYPERLINK("https://znanium.com/catalog/product/2117138", "Ознакомиться")</f>
        <v>Ознакомиться</v>
      </c>
      <c r="W356" s="8" t="s">
        <v>2395</v>
      </c>
      <c r="X356" s="6"/>
      <c r="Y356" s="6"/>
      <c r="Z356" s="6"/>
      <c r="AA356" s="6" t="s">
        <v>47</v>
      </c>
    </row>
    <row r="357" spans="1:27" s="4" customFormat="1" ht="42" customHeight="1">
      <c r="A357" s="5">
        <v>0</v>
      </c>
      <c r="B357" s="6" t="s">
        <v>2396</v>
      </c>
      <c r="C357" s="7">
        <v>730</v>
      </c>
      <c r="D357" s="8" t="s">
        <v>2397</v>
      </c>
      <c r="E357" s="8" t="s">
        <v>2398</v>
      </c>
      <c r="F357" s="8" t="s">
        <v>2399</v>
      </c>
      <c r="G357" s="6" t="s">
        <v>67</v>
      </c>
      <c r="H357" s="6" t="s">
        <v>53</v>
      </c>
      <c r="I357" s="8" t="s">
        <v>114</v>
      </c>
      <c r="J357" s="9">
        <v>1</v>
      </c>
      <c r="K357" s="9">
        <v>207</v>
      </c>
      <c r="L357" s="9">
        <v>2020</v>
      </c>
      <c r="M357" s="8" t="s">
        <v>2400</v>
      </c>
      <c r="N357" s="8" t="s">
        <v>56</v>
      </c>
      <c r="O357" s="8" t="s">
        <v>57</v>
      </c>
      <c r="P357" s="6" t="s">
        <v>116</v>
      </c>
      <c r="Q357" s="8" t="s">
        <v>81</v>
      </c>
      <c r="R357" s="10" t="s">
        <v>2401</v>
      </c>
      <c r="S357" s="11"/>
      <c r="T357" s="6"/>
      <c r="U357" s="27" t="str">
        <f>HYPERLINK("https://media.infra-m.ru/1079/1079863/cover/1079863.jpg", "Обложка")</f>
        <v>Обложка</v>
      </c>
      <c r="V357" s="27" t="str">
        <f>HYPERLINK("https://znanium.com/catalog/product/1079863", "Ознакомиться")</f>
        <v>Ознакомиться</v>
      </c>
      <c r="W357" s="8" t="s">
        <v>539</v>
      </c>
      <c r="X357" s="6"/>
      <c r="Y357" s="6"/>
      <c r="Z357" s="6"/>
      <c r="AA357" s="6" t="s">
        <v>288</v>
      </c>
    </row>
    <row r="358" spans="1:27" s="4" customFormat="1" ht="51.95" customHeight="1">
      <c r="A358" s="5">
        <v>0</v>
      </c>
      <c r="B358" s="6" t="s">
        <v>2402</v>
      </c>
      <c r="C358" s="13">
        <v>1590</v>
      </c>
      <c r="D358" s="8" t="s">
        <v>2403</v>
      </c>
      <c r="E358" s="8" t="s">
        <v>2404</v>
      </c>
      <c r="F358" s="8" t="s">
        <v>2405</v>
      </c>
      <c r="G358" s="6" t="s">
        <v>37</v>
      </c>
      <c r="H358" s="6" t="s">
        <v>53</v>
      </c>
      <c r="I358" s="8" t="s">
        <v>54</v>
      </c>
      <c r="J358" s="9">
        <v>1</v>
      </c>
      <c r="K358" s="9">
        <v>342</v>
      </c>
      <c r="L358" s="9">
        <v>2023</v>
      </c>
      <c r="M358" s="8" t="s">
        <v>2406</v>
      </c>
      <c r="N358" s="8" t="s">
        <v>56</v>
      </c>
      <c r="O358" s="8" t="s">
        <v>57</v>
      </c>
      <c r="P358" s="6" t="s">
        <v>69</v>
      </c>
      <c r="Q358" s="8" t="s">
        <v>43</v>
      </c>
      <c r="R358" s="10" t="s">
        <v>2407</v>
      </c>
      <c r="S358" s="11"/>
      <c r="T358" s="6"/>
      <c r="U358" s="27" t="str">
        <f>HYPERLINK("https://media.infra-m.ru/1902/1902741/cover/1902741.jpg", "Обложка")</f>
        <v>Обложка</v>
      </c>
      <c r="V358" s="27" t="str">
        <f>HYPERLINK("https://znanium.com/catalog/product/1902741", "Ознакомиться")</f>
        <v>Ознакомиться</v>
      </c>
      <c r="W358" s="8" t="s">
        <v>91</v>
      </c>
      <c r="X358" s="6" t="s">
        <v>1343</v>
      </c>
      <c r="Y358" s="6"/>
      <c r="Z358" s="6"/>
      <c r="AA358" s="6" t="s">
        <v>93</v>
      </c>
    </row>
    <row r="359" spans="1:27" s="4" customFormat="1" ht="51.95" customHeight="1">
      <c r="A359" s="5">
        <v>0</v>
      </c>
      <c r="B359" s="6" t="s">
        <v>2408</v>
      </c>
      <c r="C359" s="13">
        <v>1430</v>
      </c>
      <c r="D359" s="8" t="s">
        <v>2409</v>
      </c>
      <c r="E359" s="8" t="s">
        <v>2410</v>
      </c>
      <c r="F359" s="8" t="s">
        <v>2411</v>
      </c>
      <c r="G359" s="6" t="s">
        <v>67</v>
      </c>
      <c r="H359" s="6" t="s">
        <v>38</v>
      </c>
      <c r="I359" s="8" t="s">
        <v>54</v>
      </c>
      <c r="J359" s="9">
        <v>1</v>
      </c>
      <c r="K359" s="9">
        <v>310</v>
      </c>
      <c r="L359" s="9">
        <v>2024</v>
      </c>
      <c r="M359" s="8" t="s">
        <v>2412</v>
      </c>
      <c r="N359" s="8" t="s">
        <v>40</v>
      </c>
      <c r="O359" s="8" t="s">
        <v>41</v>
      </c>
      <c r="P359" s="6" t="s">
        <v>42</v>
      </c>
      <c r="Q359" s="8" t="s">
        <v>43</v>
      </c>
      <c r="R359" s="10" t="s">
        <v>2413</v>
      </c>
      <c r="S359" s="11" t="s">
        <v>2414</v>
      </c>
      <c r="T359" s="6" t="s">
        <v>277</v>
      </c>
      <c r="U359" s="27" t="str">
        <f>HYPERLINK("https://media.infra-m.ru/2073/2073497/cover/2073497.jpg", "Обложка")</f>
        <v>Обложка</v>
      </c>
      <c r="V359" s="27" t="str">
        <f>HYPERLINK("https://znanium.com/catalog/product/2073497", "Ознакомиться")</f>
        <v>Ознакомиться</v>
      </c>
      <c r="W359" s="8" t="s">
        <v>46</v>
      </c>
      <c r="X359" s="6"/>
      <c r="Y359" s="6"/>
      <c r="Z359" s="6"/>
      <c r="AA359" s="6" t="s">
        <v>301</v>
      </c>
    </row>
    <row r="360" spans="1:27" s="4" customFormat="1" ht="44.1" customHeight="1">
      <c r="A360" s="5">
        <v>0</v>
      </c>
      <c r="B360" s="6" t="s">
        <v>2415</v>
      </c>
      <c r="C360" s="7">
        <v>570</v>
      </c>
      <c r="D360" s="8" t="s">
        <v>2416</v>
      </c>
      <c r="E360" s="8" t="s">
        <v>2417</v>
      </c>
      <c r="F360" s="8" t="s">
        <v>2418</v>
      </c>
      <c r="G360" s="6" t="s">
        <v>52</v>
      </c>
      <c r="H360" s="6" t="s">
        <v>53</v>
      </c>
      <c r="I360" s="8" t="s">
        <v>114</v>
      </c>
      <c r="J360" s="9">
        <v>1</v>
      </c>
      <c r="K360" s="9">
        <v>126</v>
      </c>
      <c r="L360" s="9">
        <v>2023</v>
      </c>
      <c r="M360" s="8" t="s">
        <v>2419</v>
      </c>
      <c r="N360" s="8" t="s">
        <v>56</v>
      </c>
      <c r="O360" s="8" t="s">
        <v>57</v>
      </c>
      <c r="P360" s="6" t="s">
        <v>116</v>
      </c>
      <c r="Q360" s="8" t="s">
        <v>81</v>
      </c>
      <c r="R360" s="10" t="s">
        <v>2420</v>
      </c>
      <c r="S360" s="11"/>
      <c r="T360" s="6"/>
      <c r="U360" s="27" t="str">
        <f>HYPERLINK("https://media.infra-m.ru/1896/1896463/cover/1896463.jpg", "Обложка")</f>
        <v>Обложка</v>
      </c>
      <c r="V360" s="27" t="str">
        <f>HYPERLINK("https://znanium.com/catalog/product/1896463", "Ознакомиться")</f>
        <v>Ознакомиться</v>
      </c>
      <c r="W360" s="8" t="s">
        <v>583</v>
      </c>
      <c r="X360" s="6"/>
      <c r="Y360" s="6"/>
      <c r="Z360" s="6"/>
      <c r="AA360" s="6" t="s">
        <v>510</v>
      </c>
    </row>
    <row r="361" spans="1:27" s="4" customFormat="1" ht="51.95" customHeight="1">
      <c r="A361" s="5">
        <v>0</v>
      </c>
      <c r="B361" s="6" t="s">
        <v>2421</v>
      </c>
      <c r="C361" s="13">
        <v>1980</v>
      </c>
      <c r="D361" s="8" t="s">
        <v>2422</v>
      </c>
      <c r="E361" s="8" t="s">
        <v>2423</v>
      </c>
      <c r="F361" s="8" t="s">
        <v>2424</v>
      </c>
      <c r="G361" s="6" t="s">
        <v>37</v>
      </c>
      <c r="H361" s="6" t="s">
        <v>53</v>
      </c>
      <c r="I361" s="8" t="s">
        <v>114</v>
      </c>
      <c r="J361" s="9">
        <v>1</v>
      </c>
      <c r="K361" s="9">
        <v>430</v>
      </c>
      <c r="L361" s="9">
        <v>2024</v>
      </c>
      <c r="M361" s="8" t="s">
        <v>2425</v>
      </c>
      <c r="N361" s="8" t="s">
        <v>56</v>
      </c>
      <c r="O361" s="8" t="s">
        <v>57</v>
      </c>
      <c r="P361" s="6" t="s">
        <v>116</v>
      </c>
      <c r="Q361" s="8" t="s">
        <v>81</v>
      </c>
      <c r="R361" s="10" t="s">
        <v>2426</v>
      </c>
      <c r="S361" s="11"/>
      <c r="T361" s="6"/>
      <c r="U361" s="27" t="str">
        <f>HYPERLINK("https://media.infra-m.ru/2119/2119929/cover/2119929.jpg", "Обложка")</f>
        <v>Обложка</v>
      </c>
      <c r="V361" s="27" t="str">
        <f>HYPERLINK("https://znanium.com/catalog/product/2119929", "Ознакомиться")</f>
        <v>Ознакомиться</v>
      </c>
      <c r="W361" s="8" t="s">
        <v>91</v>
      </c>
      <c r="X361" s="6"/>
      <c r="Y361" s="6"/>
      <c r="Z361" s="6"/>
      <c r="AA361" s="6" t="s">
        <v>301</v>
      </c>
    </row>
    <row r="362" spans="1:27" s="4" customFormat="1" ht="51.95" customHeight="1">
      <c r="A362" s="5">
        <v>0</v>
      </c>
      <c r="B362" s="6" t="s">
        <v>2427</v>
      </c>
      <c r="C362" s="13">
        <v>1344.9</v>
      </c>
      <c r="D362" s="8" t="s">
        <v>2428</v>
      </c>
      <c r="E362" s="8" t="s">
        <v>2429</v>
      </c>
      <c r="F362" s="8" t="s">
        <v>2430</v>
      </c>
      <c r="G362" s="6" t="s">
        <v>37</v>
      </c>
      <c r="H362" s="6" t="s">
        <v>53</v>
      </c>
      <c r="I362" s="8" t="s">
        <v>114</v>
      </c>
      <c r="J362" s="9">
        <v>1</v>
      </c>
      <c r="K362" s="9">
        <v>299</v>
      </c>
      <c r="L362" s="9">
        <v>2023</v>
      </c>
      <c r="M362" s="8" t="s">
        <v>2431</v>
      </c>
      <c r="N362" s="8" t="s">
        <v>56</v>
      </c>
      <c r="O362" s="8" t="s">
        <v>57</v>
      </c>
      <c r="P362" s="6" t="s">
        <v>116</v>
      </c>
      <c r="Q362" s="8" t="s">
        <v>81</v>
      </c>
      <c r="R362" s="10" t="s">
        <v>2432</v>
      </c>
      <c r="S362" s="11"/>
      <c r="T362" s="6"/>
      <c r="U362" s="27" t="str">
        <f>HYPERLINK("https://media.infra-m.ru/1998/1998743/cover/1998743.jpg", "Обложка")</f>
        <v>Обложка</v>
      </c>
      <c r="V362" s="27" t="str">
        <f>HYPERLINK("https://znanium.com/catalog/product/1429037", "Ознакомиться")</f>
        <v>Ознакомиться</v>
      </c>
      <c r="W362" s="8" t="s">
        <v>2433</v>
      </c>
      <c r="X362" s="6"/>
      <c r="Y362" s="6"/>
      <c r="Z362" s="6"/>
      <c r="AA362" s="6" t="s">
        <v>84</v>
      </c>
    </row>
    <row r="363" spans="1:27" s="4" customFormat="1" ht="51.95" customHeight="1">
      <c r="A363" s="5">
        <v>0</v>
      </c>
      <c r="B363" s="6" t="s">
        <v>2434</v>
      </c>
      <c r="C363" s="7">
        <v>894</v>
      </c>
      <c r="D363" s="8" t="s">
        <v>2435</v>
      </c>
      <c r="E363" s="8" t="s">
        <v>2436</v>
      </c>
      <c r="F363" s="8" t="s">
        <v>407</v>
      </c>
      <c r="G363" s="6" t="s">
        <v>67</v>
      </c>
      <c r="H363" s="6" t="s">
        <v>53</v>
      </c>
      <c r="I363" s="8" t="s">
        <v>436</v>
      </c>
      <c r="J363" s="9">
        <v>1</v>
      </c>
      <c r="K363" s="9">
        <v>197</v>
      </c>
      <c r="L363" s="9">
        <v>2023</v>
      </c>
      <c r="M363" s="8" t="s">
        <v>2437</v>
      </c>
      <c r="N363" s="8" t="s">
        <v>40</v>
      </c>
      <c r="O363" s="8" t="s">
        <v>41</v>
      </c>
      <c r="P363" s="6" t="s">
        <v>42</v>
      </c>
      <c r="Q363" s="8" t="s">
        <v>43</v>
      </c>
      <c r="R363" s="10" t="s">
        <v>275</v>
      </c>
      <c r="S363" s="11" t="s">
        <v>2345</v>
      </c>
      <c r="T363" s="6"/>
      <c r="U363" s="27" t="str">
        <f>HYPERLINK("https://media.infra-m.ru/2021/2021460/cover/2021460.jpg", "Обложка")</f>
        <v>Обложка</v>
      </c>
      <c r="V363" s="27" t="str">
        <f>HYPERLINK("https://znanium.com/catalog/product/978856", "Ознакомиться")</f>
        <v>Ознакомиться</v>
      </c>
      <c r="W363" s="8" t="s">
        <v>46</v>
      </c>
      <c r="X363" s="6"/>
      <c r="Y363" s="6"/>
      <c r="Z363" s="6"/>
      <c r="AA363" s="6" t="s">
        <v>73</v>
      </c>
    </row>
    <row r="364" spans="1:27" s="4" customFormat="1" ht="51.95" customHeight="1">
      <c r="A364" s="5">
        <v>0</v>
      </c>
      <c r="B364" s="6" t="s">
        <v>2438</v>
      </c>
      <c r="C364" s="7">
        <v>750</v>
      </c>
      <c r="D364" s="8" t="s">
        <v>2439</v>
      </c>
      <c r="E364" s="8" t="s">
        <v>2440</v>
      </c>
      <c r="F364" s="8" t="s">
        <v>2441</v>
      </c>
      <c r="G364" s="6" t="s">
        <v>37</v>
      </c>
      <c r="H364" s="6" t="s">
        <v>53</v>
      </c>
      <c r="I364" s="8" t="s">
        <v>114</v>
      </c>
      <c r="J364" s="9">
        <v>1</v>
      </c>
      <c r="K364" s="9">
        <v>201</v>
      </c>
      <c r="L364" s="9">
        <v>2021</v>
      </c>
      <c r="M364" s="8" t="s">
        <v>2442</v>
      </c>
      <c r="N364" s="8" t="s">
        <v>56</v>
      </c>
      <c r="O364" s="8" t="s">
        <v>57</v>
      </c>
      <c r="P364" s="6" t="s">
        <v>116</v>
      </c>
      <c r="Q364" s="8" t="s">
        <v>81</v>
      </c>
      <c r="R364" s="10" t="s">
        <v>624</v>
      </c>
      <c r="S364" s="11"/>
      <c r="T364" s="6"/>
      <c r="U364" s="27" t="str">
        <f>HYPERLINK("https://media.infra-m.ru/1227/1227744/cover/1227744.jpg", "Обложка")</f>
        <v>Обложка</v>
      </c>
      <c r="V364" s="27" t="str">
        <f>HYPERLINK("https://znanium.com/catalog/product/1227744", "Ознакомиться")</f>
        <v>Ознакомиться</v>
      </c>
      <c r="W364" s="8" t="s">
        <v>2443</v>
      </c>
      <c r="X364" s="6"/>
      <c r="Y364" s="6"/>
      <c r="Z364" s="6"/>
      <c r="AA364" s="6" t="s">
        <v>143</v>
      </c>
    </row>
    <row r="365" spans="1:27" s="4" customFormat="1" ht="51.95" customHeight="1">
      <c r="A365" s="5">
        <v>0</v>
      </c>
      <c r="B365" s="6" t="s">
        <v>2444</v>
      </c>
      <c r="C365" s="7">
        <v>560</v>
      </c>
      <c r="D365" s="8" t="s">
        <v>2445</v>
      </c>
      <c r="E365" s="8" t="s">
        <v>2446</v>
      </c>
      <c r="F365" s="8" t="s">
        <v>2447</v>
      </c>
      <c r="G365" s="6" t="s">
        <v>52</v>
      </c>
      <c r="H365" s="6" t="s">
        <v>53</v>
      </c>
      <c r="I365" s="8" t="s">
        <v>114</v>
      </c>
      <c r="J365" s="9">
        <v>1</v>
      </c>
      <c r="K365" s="9">
        <v>144</v>
      </c>
      <c r="L365" s="9">
        <v>2022</v>
      </c>
      <c r="M365" s="8" t="s">
        <v>2448</v>
      </c>
      <c r="N365" s="8" t="s">
        <v>56</v>
      </c>
      <c r="O365" s="8" t="s">
        <v>57</v>
      </c>
      <c r="P365" s="6" t="s">
        <v>116</v>
      </c>
      <c r="Q365" s="8" t="s">
        <v>81</v>
      </c>
      <c r="R365" s="10" t="s">
        <v>2449</v>
      </c>
      <c r="S365" s="11"/>
      <c r="T365" s="6"/>
      <c r="U365" s="27" t="str">
        <f>HYPERLINK("https://media.infra-m.ru/1861/1861123/cover/1861123.jpg", "Обложка")</f>
        <v>Обложка</v>
      </c>
      <c r="V365" s="27" t="str">
        <f>HYPERLINK("https://znanium.com/catalog/product/1861123", "Ознакомиться")</f>
        <v>Ознакомиться</v>
      </c>
      <c r="W365" s="8" t="s">
        <v>307</v>
      </c>
      <c r="X365" s="6"/>
      <c r="Y365" s="6"/>
      <c r="Z365" s="6"/>
      <c r="AA365" s="6" t="s">
        <v>308</v>
      </c>
    </row>
    <row r="366" spans="1:27" s="4" customFormat="1" ht="51.95" customHeight="1">
      <c r="A366" s="5">
        <v>0</v>
      </c>
      <c r="B366" s="6" t="s">
        <v>2450</v>
      </c>
      <c r="C366" s="13">
        <v>1590</v>
      </c>
      <c r="D366" s="8" t="s">
        <v>2451</v>
      </c>
      <c r="E366" s="8" t="s">
        <v>2452</v>
      </c>
      <c r="F366" s="8" t="s">
        <v>2453</v>
      </c>
      <c r="G366" s="6" t="s">
        <v>67</v>
      </c>
      <c r="H366" s="6" t="s">
        <v>53</v>
      </c>
      <c r="I366" s="8" t="s">
        <v>54</v>
      </c>
      <c r="J366" s="9">
        <v>1</v>
      </c>
      <c r="K366" s="9">
        <v>346</v>
      </c>
      <c r="L366" s="9">
        <v>2024</v>
      </c>
      <c r="M366" s="8" t="s">
        <v>2454</v>
      </c>
      <c r="N366" s="8" t="s">
        <v>56</v>
      </c>
      <c r="O366" s="8" t="s">
        <v>57</v>
      </c>
      <c r="P366" s="6" t="s">
        <v>42</v>
      </c>
      <c r="Q366" s="8" t="s">
        <v>58</v>
      </c>
      <c r="R366" s="10" t="s">
        <v>151</v>
      </c>
      <c r="S366" s="11" t="s">
        <v>1447</v>
      </c>
      <c r="T366" s="6"/>
      <c r="U366" s="27" t="str">
        <f>HYPERLINK("https://media.infra-m.ru/2109/2109541/cover/2109541.jpg", "Обложка")</f>
        <v>Обложка</v>
      </c>
      <c r="V366" s="27" t="str">
        <f>HYPERLINK("https://znanium.com/catalog/product/2109541", "Ознакомиться")</f>
        <v>Ознакомиться</v>
      </c>
      <c r="W366" s="8" t="s">
        <v>91</v>
      </c>
      <c r="X366" s="6"/>
      <c r="Y366" s="6"/>
      <c r="Z366" s="6"/>
      <c r="AA366" s="6" t="s">
        <v>253</v>
      </c>
    </row>
    <row r="367" spans="1:27" s="4" customFormat="1" ht="44.1" customHeight="1">
      <c r="A367" s="5">
        <v>0</v>
      </c>
      <c r="B367" s="6" t="s">
        <v>2455</v>
      </c>
      <c r="C367" s="13">
        <v>1200</v>
      </c>
      <c r="D367" s="8" t="s">
        <v>2456</v>
      </c>
      <c r="E367" s="8" t="s">
        <v>2457</v>
      </c>
      <c r="F367" s="8" t="s">
        <v>2458</v>
      </c>
      <c r="G367" s="6" t="s">
        <v>37</v>
      </c>
      <c r="H367" s="6" t="s">
        <v>597</v>
      </c>
      <c r="I367" s="8"/>
      <c r="J367" s="9">
        <v>1</v>
      </c>
      <c r="K367" s="9">
        <v>352</v>
      </c>
      <c r="L367" s="9">
        <v>2020</v>
      </c>
      <c r="M367" s="8" t="s">
        <v>2459</v>
      </c>
      <c r="N367" s="8" t="s">
        <v>56</v>
      </c>
      <c r="O367" s="8" t="s">
        <v>57</v>
      </c>
      <c r="P367" s="6" t="s">
        <v>116</v>
      </c>
      <c r="Q367" s="8" t="s">
        <v>81</v>
      </c>
      <c r="R367" s="10" t="s">
        <v>2262</v>
      </c>
      <c r="S367" s="11"/>
      <c r="T367" s="6"/>
      <c r="U367" s="27" t="str">
        <f>HYPERLINK("https://media.infra-m.ru/1039/1039303/cover/1039303.jpg", "Обложка")</f>
        <v>Обложка</v>
      </c>
      <c r="V367" s="27" t="str">
        <f>HYPERLINK("https://znanium.com/catalog/product/1039303", "Ознакомиться")</f>
        <v>Ознакомиться</v>
      </c>
      <c r="W367" s="8" t="s">
        <v>1748</v>
      </c>
      <c r="X367" s="6"/>
      <c r="Y367" s="6"/>
      <c r="Z367" s="6"/>
      <c r="AA367" s="6" t="s">
        <v>201</v>
      </c>
    </row>
    <row r="368" spans="1:27" s="4" customFormat="1" ht="51.95" customHeight="1">
      <c r="A368" s="5">
        <v>0</v>
      </c>
      <c r="B368" s="6" t="s">
        <v>2460</v>
      </c>
      <c r="C368" s="13">
        <v>1290</v>
      </c>
      <c r="D368" s="8" t="s">
        <v>2461</v>
      </c>
      <c r="E368" s="8" t="s">
        <v>2462</v>
      </c>
      <c r="F368" s="8" t="s">
        <v>2463</v>
      </c>
      <c r="G368" s="6" t="s">
        <v>67</v>
      </c>
      <c r="H368" s="6" t="s">
        <v>53</v>
      </c>
      <c r="I368" s="8" t="s">
        <v>54</v>
      </c>
      <c r="J368" s="9">
        <v>1</v>
      </c>
      <c r="K368" s="9">
        <v>275</v>
      </c>
      <c r="L368" s="9">
        <v>2024</v>
      </c>
      <c r="M368" s="8" t="s">
        <v>2464</v>
      </c>
      <c r="N368" s="8" t="s">
        <v>56</v>
      </c>
      <c r="O368" s="8" t="s">
        <v>57</v>
      </c>
      <c r="P368" s="6" t="s">
        <v>69</v>
      </c>
      <c r="Q368" s="8" t="s">
        <v>58</v>
      </c>
      <c r="R368" s="10" t="s">
        <v>1441</v>
      </c>
      <c r="S368" s="11" t="s">
        <v>2465</v>
      </c>
      <c r="T368" s="6" t="s">
        <v>277</v>
      </c>
      <c r="U368" s="27" t="str">
        <f>HYPERLINK("https://media.infra-m.ru/2075/2075159/cover/2075159.jpg", "Обложка")</f>
        <v>Обложка</v>
      </c>
      <c r="V368" s="27" t="str">
        <f>HYPERLINK("https://znanium.com/catalog/product/2075159", "Ознакомиться")</f>
        <v>Ознакомиться</v>
      </c>
      <c r="W368" s="8" t="s">
        <v>2466</v>
      </c>
      <c r="X368" s="6"/>
      <c r="Y368" s="6"/>
      <c r="Z368" s="6"/>
      <c r="AA368" s="6" t="s">
        <v>496</v>
      </c>
    </row>
    <row r="369" spans="1:27" s="4" customFormat="1" ht="51.95" customHeight="1">
      <c r="A369" s="5">
        <v>0</v>
      </c>
      <c r="B369" s="6" t="s">
        <v>2467</v>
      </c>
      <c r="C369" s="13">
        <v>1744</v>
      </c>
      <c r="D369" s="8" t="s">
        <v>2468</v>
      </c>
      <c r="E369" s="8" t="s">
        <v>2469</v>
      </c>
      <c r="F369" s="8" t="s">
        <v>2470</v>
      </c>
      <c r="G369" s="6" t="s">
        <v>37</v>
      </c>
      <c r="H369" s="6" t="s">
        <v>53</v>
      </c>
      <c r="I369" s="8" t="s">
        <v>54</v>
      </c>
      <c r="J369" s="9">
        <v>1</v>
      </c>
      <c r="K369" s="9">
        <v>378</v>
      </c>
      <c r="L369" s="9">
        <v>2024</v>
      </c>
      <c r="M369" s="8" t="s">
        <v>2471</v>
      </c>
      <c r="N369" s="8" t="s">
        <v>56</v>
      </c>
      <c r="O369" s="8" t="s">
        <v>57</v>
      </c>
      <c r="P369" s="6" t="s">
        <v>42</v>
      </c>
      <c r="Q369" s="8" t="s">
        <v>43</v>
      </c>
      <c r="R369" s="10" t="s">
        <v>2262</v>
      </c>
      <c r="S369" s="11" t="s">
        <v>2472</v>
      </c>
      <c r="T369" s="6"/>
      <c r="U369" s="27" t="str">
        <f>HYPERLINK("https://media.infra-m.ru/2054/2054988/cover/2054988.jpg", "Обложка")</f>
        <v>Обложка</v>
      </c>
      <c r="V369" s="27" t="str">
        <f>HYPERLINK("https://znanium.com/catalog/product/1242309", "Ознакомиться")</f>
        <v>Ознакомиться</v>
      </c>
      <c r="W369" s="8"/>
      <c r="X369" s="6"/>
      <c r="Y369" s="6"/>
      <c r="Z369" s="6"/>
      <c r="AA369" s="6" t="s">
        <v>2473</v>
      </c>
    </row>
    <row r="370" spans="1:27" s="4" customFormat="1" ht="42" customHeight="1">
      <c r="A370" s="5">
        <v>0</v>
      </c>
      <c r="B370" s="6" t="s">
        <v>2474</v>
      </c>
      <c r="C370" s="7">
        <v>794.9</v>
      </c>
      <c r="D370" s="8" t="s">
        <v>2475</v>
      </c>
      <c r="E370" s="8" t="s">
        <v>2476</v>
      </c>
      <c r="F370" s="8" t="s">
        <v>2477</v>
      </c>
      <c r="G370" s="6" t="s">
        <v>37</v>
      </c>
      <c r="H370" s="6" t="s">
        <v>104</v>
      </c>
      <c r="I370" s="8" t="s">
        <v>2478</v>
      </c>
      <c r="J370" s="9">
        <v>1</v>
      </c>
      <c r="K370" s="9">
        <v>272</v>
      </c>
      <c r="L370" s="9">
        <v>2017</v>
      </c>
      <c r="M370" s="8" t="s">
        <v>2479</v>
      </c>
      <c r="N370" s="8" t="s">
        <v>56</v>
      </c>
      <c r="O370" s="8" t="s">
        <v>57</v>
      </c>
      <c r="P370" s="6" t="s">
        <v>69</v>
      </c>
      <c r="Q370" s="8" t="s">
        <v>43</v>
      </c>
      <c r="R370" s="10" t="s">
        <v>1441</v>
      </c>
      <c r="S370" s="11"/>
      <c r="T370" s="6"/>
      <c r="U370" s="27" t="str">
        <f>HYPERLINK("https://media.infra-m.ru/0772/0772502/cover/772502.jpg", "Обложка")</f>
        <v>Обложка</v>
      </c>
      <c r="V370" s="27" t="str">
        <f>HYPERLINK("https://znanium.com/catalog/product/2075159", "Ознакомиться")</f>
        <v>Ознакомиться</v>
      </c>
      <c r="W370" s="8" t="s">
        <v>2466</v>
      </c>
      <c r="X370" s="6"/>
      <c r="Y370" s="6"/>
      <c r="Z370" s="6"/>
      <c r="AA370" s="6" t="s">
        <v>84</v>
      </c>
    </row>
    <row r="371" spans="1:27" s="4" customFormat="1" ht="51.95" customHeight="1">
      <c r="A371" s="5">
        <v>0</v>
      </c>
      <c r="B371" s="6" t="s">
        <v>2480</v>
      </c>
      <c r="C371" s="13">
        <v>2344.9</v>
      </c>
      <c r="D371" s="8" t="s">
        <v>2481</v>
      </c>
      <c r="E371" s="8" t="s">
        <v>2476</v>
      </c>
      <c r="F371" s="8" t="s">
        <v>2482</v>
      </c>
      <c r="G371" s="6" t="s">
        <v>67</v>
      </c>
      <c r="H371" s="6" t="s">
        <v>53</v>
      </c>
      <c r="I371" s="8" t="s">
        <v>165</v>
      </c>
      <c r="J371" s="9">
        <v>1</v>
      </c>
      <c r="K371" s="9">
        <v>524</v>
      </c>
      <c r="L371" s="9">
        <v>2022</v>
      </c>
      <c r="M371" s="8" t="s">
        <v>2483</v>
      </c>
      <c r="N371" s="8" t="s">
        <v>56</v>
      </c>
      <c r="O371" s="8" t="s">
        <v>57</v>
      </c>
      <c r="P371" s="6" t="s">
        <v>69</v>
      </c>
      <c r="Q371" s="8" t="s">
        <v>43</v>
      </c>
      <c r="R371" s="10" t="s">
        <v>2484</v>
      </c>
      <c r="S371" s="11" t="s">
        <v>2485</v>
      </c>
      <c r="T371" s="6"/>
      <c r="U371" s="27" t="str">
        <f>HYPERLINK("https://media.infra-m.ru/1914/1914601/cover/1914601.jpg", "Обложка")</f>
        <v>Обложка</v>
      </c>
      <c r="V371" s="27" t="str">
        <f>HYPERLINK("https://znanium.com/catalog/product/1894611", "Ознакомиться")</f>
        <v>Ознакомиться</v>
      </c>
      <c r="W371" s="8" t="s">
        <v>134</v>
      </c>
      <c r="X371" s="6"/>
      <c r="Y371" s="6"/>
      <c r="Z371" s="6"/>
      <c r="AA371" s="6" t="s">
        <v>301</v>
      </c>
    </row>
    <row r="372" spans="1:27" s="4" customFormat="1" ht="51.95" customHeight="1">
      <c r="A372" s="5">
        <v>0</v>
      </c>
      <c r="B372" s="6" t="s">
        <v>2486</v>
      </c>
      <c r="C372" s="13">
        <v>1310</v>
      </c>
      <c r="D372" s="8" t="s">
        <v>2487</v>
      </c>
      <c r="E372" s="8" t="s">
        <v>2476</v>
      </c>
      <c r="F372" s="8" t="s">
        <v>2488</v>
      </c>
      <c r="G372" s="6" t="s">
        <v>67</v>
      </c>
      <c r="H372" s="6" t="s">
        <v>53</v>
      </c>
      <c r="I372" s="8" t="s">
        <v>165</v>
      </c>
      <c r="J372" s="9">
        <v>1</v>
      </c>
      <c r="K372" s="9">
        <v>278</v>
      </c>
      <c r="L372" s="9">
        <v>2023</v>
      </c>
      <c r="M372" s="8" t="s">
        <v>2489</v>
      </c>
      <c r="N372" s="8" t="s">
        <v>56</v>
      </c>
      <c r="O372" s="8" t="s">
        <v>57</v>
      </c>
      <c r="P372" s="6" t="s">
        <v>69</v>
      </c>
      <c r="Q372" s="8" t="s">
        <v>43</v>
      </c>
      <c r="R372" s="10" t="s">
        <v>2490</v>
      </c>
      <c r="S372" s="11" t="s">
        <v>2491</v>
      </c>
      <c r="T372" s="6"/>
      <c r="U372" s="27" t="str">
        <f>HYPERLINK("https://media.infra-m.ru/1960/1960099/cover/1960099.jpg", "Обложка")</f>
        <v>Обложка</v>
      </c>
      <c r="V372" s="27" t="str">
        <f>HYPERLINK("https://znanium.com/catalog/product/1960099", "Ознакомиться")</f>
        <v>Ознакомиться</v>
      </c>
      <c r="W372" s="8" t="s">
        <v>2492</v>
      </c>
      <c r="X372" s="6"/>
      <c r="Y372" s="6"/>
      <c r="Z372" s="6"/>
      <c r="AA372" s="6" t="s">
        <v>143</v>
      </c>
    </row>
    <row r="373" spans="1:27" s="4" customFormat="1" ht="51.95" customHeight="1">
      <c r="A373" s="5">
        <v>0</v>
      </c>
      <c r="B373" s="6" t="s">
        <v>2493</v>
      </c>
      <c r="C373" s="13">
        <v>1774.9</v>
      </c>
      <c r="D373" s="8" t="s">
        <v>2494</v>
      </c>
      <c r="E373" s="8" t="s">
        <v>2495</v>
      </c>
      <c r="F373" s="8" t="s">
        <v>2496</v>
      </c>
      <c r="G373" s="6" t="s">
        <v>37</v>
      </c>
      <c r="H373" s="6" t="s">
        <v>53</v>
      </c>
      <c r="I373" s="8" t="s">
        <v>165</v>
      </c>
      <c r="J373" s="9">
        <v>1</v>
      </c>
      <c r="K373" s="9">
        <v>394</v>
      </c>
      <c r="L373" s="9">
        <v>2023</v>
      </c>
      <c r="M373" s="8" t="s">
        <v>2497</v>
      </c>
      <c r="N373" s="8" t="s">
        <v>56</v>
      </c>
      <c r="O373" s="8" t="s">
        <v>57</v>
      </c>
      <c r="P373" s="6" t="s">
        <v>42</v>
      </c>
      <c r="Q373" s="8" t="s">
        <v>43</v>
      </c>
      <c r="R373" s="10" t="s">
        <v>2498</v>
      </c>
      <c r="S373" s="11" t="s">
        <v>2499</v>
      </c>
      <c r="T373" s="6"/>
      <c r="U373" s="27" t="str">
        <f>HYPERLINK("https://media.infra-m.ru/1907/1907023/cover/1907023.jpg", "Обложка")</f>
        <v>Обложка</v>
      </c>
      <c r="V373" s="27" t="str">
        <f>HYPERLINK("https://znanium.com/catalog/product/1841436", "Ознакомиться")</f>
        <v>Ознакомиться</v>
      </c>
      <c r="W373" s="8" t="s">
        <v>269</v>
      </c>
      <c r="X373" s="6"/>
      <c r="Y373" s="6"/>
      <c r="Z373" s="6"/>
      <c r="AA373" s="6" t="s">
        <v>308</v>
      </c>
    </row>
    <row r="374" spans="1:27" s="4" customFormat="1" ht="44.1" customHeight="1">
      <c r="A374" s="5">
        <v>0</v>
      </c>
      <c r="B374" s="6" t="s">
        <v>2500</v>
      </c>
      <c r="C374" s="13">
        <v>1350</v>
      </c>
      <c r="D374" s="8" t="s">
        <v>2501</v>
      </c>
      <c r="E374" s="8" t="s">
        <v>2502</v>
      </c>
      <c r="F374" s="8" t="s">
        <v>2503</v>
      </c>
      <c r="G374" s="6" t="s">
        <v>67</v>
      </c>
      <c r="H374" s="6" t="s">
        <v>53</v>
      </c>
      <c r="I374" s="8" t="s">
        <v>2504</v>
      </c>
      <c r="J374" s="9">
        <v>1</v>
      </c>
      <c r="K374" s="9">
        <v>300</v>
      </c>
      <c r="L374" s="9">
        <v>2023</v>
      </c>
      <c r="M374" s="8" t="s">
        <v>2505</v>
      </c>
      <c r="N374" s="8" t="s">
        <v>56</v>
      </c>
      <c r="O374" s="8" t="s">
        <v>57</v>
      </c>
      <c r="P374" s="6" t="s">
        <v>2506</v>
      </c>
      <c r="Q374" s="8" t="s">
        <v>81</v>
      </c>
      <c r="R374" s="10" t="s">
        <v>2507</v>
      </c>
      <c r="S374" s="11"/>
      <c r="T374" s="6"/>
      <c r="U374" s="27" t="str">
        <f>HYPERLINK("https://media.infra-m.ru/1904/1904568/cover/1904568.jpg", "Обложка")</f>
        <v>Обложка</v>
      </c>
      <c r="V374" s="27" t="str">
        <f>HYPERLINK("https://znanium.com/catalog/product/1904568", "Ознакомиться")</f>
        <v>Ознакомиться</v>
      </c>
      <c r="W374" s="8" t="s">
        <v>2508</v>
      </c>
      <c r="X374" s="6"/>
      <c r="Y374" s="6"/>
      <c r="Z374" s="6"/>
      <c r="AA374" s="6" t="s">
        <v>365</v>
      </c>
    </row>
    <row r="375" spans="1:27" s="4" customFormat="1" ht="51.95" customHeight="1">
      <c r="A375" s="5">
        <v>0</v>
      </c>
      <c r="B375" s="6" t="s">
        <v>2509</v>
      </c>
      <c r="C375" s="13">
        <v>1110</v>
      </c>
      <c r="D375" s="8" t="s">
        <v>2510</v>
      </c>
      <c r="E375" s="8" t="s">
        <v>2511</v>
      </c>
      <c r="F375" s="8" t="s">
        <v>2512</v>
      </c>
      <c r="G375" s="6" t="s">
        <v>67</v>
      </c>
      <c r="H375" s="6" t="s">
        <v>53</v>
      </c>
      <c r="I375" s="8" t="s">
        <v>174</v>
      </c>
      <c r="J375" s="9">
        <v>1</v>
      </c>
      <c r="K375" s="9">
        <v>236</v>
      </c>
      <c r="L375" s="9">
        <v>2024</v>
      </c>
      <c r="M375" s="8" t="s">
        <v>2513</v>
      </c>
      <c r="N375" s="8" t="s">
        <v>56</v>
      </c>
      <c r="O375" s="8" t="s">
        <v>57</v>
      </c>
      <c r="P375" s="6" t="s">
        <v>42</v>
      </c>
      <c r="Q375" s="8" t="s">
        <v>150</v>
      </c>
      <c r="R375" s="10" t="s">
        <v>2514</v>
      </c>
      <c r="S375" s="11" t="s">
        <v>2515</v>
      </c>
      <c r="T375" s="6"/>
      <c r="U375" s="27" t="str">
        <f>HYPERLINK("https://media.infra-m.ru/2073/2073480/cover/2073480.jpg", "Обложка")</f>
        <v>Обложка</v>
      </c>
      <c r="V375" s="27" t="str">
        <f>HYPERLINK("https://znanium.com/catalog/product/2073480", "Ознакомиться")</f>
        <v>Ознакомиться</v>
      </c>
      <c r="W375" s="8" t="s">
        <v>46</v>
      </c>
      <c r="X375" s="6"/>
      <c r="Y375" s="6"/>
      <c r="Z375" s="6"/>
      <c r="AA375" s="6" t="s">
        <v>510</v>
      </c>
    </row>
    <row r="376" spans="1:27" s="4" customFormat="1" ht="51.95" customHeight="1">
      <c r="A376" s="5">
        <v>0</v>
      </c>
      <c r="B376" s="6" t="s">
        <v>2516</v>
      </c>
      <c r="C376" s="13">
        <v>1814.9</v>
      </c>
      <c r="D376" s="8" t="s">
        <v>2517</v>
      </c>
      <c r="E376" s="8" t="s">
        <v>2518</v>
      </c>
      <c r="F376" s="8" t="s">
        <v>790</v>
      </c>
      <c r="G376" s="6" t="s">
        <v>37</v>
      </c>
      <c r="H376" s="6" t="s">
        <v>53</v>
      </c>
      <c r="I376" s="8" t="s">
        <v>760</v>
      </c>
      <c r="J376" s="9">
        <v>1</v>
      </c>
      <c r="K376" s="9">
        <v>477</v>
      </c>
      <c r="L376" s="9">
        <v>2022</v>
      </c>
      <c r="M376" s="8" t="s">
        <v>2519</v>
      </c>
      <c r="N376" s="8" t="s">
        <v>56</v>
      </c>
      <c r="O376" s="8" t="s">
        <v>57</v>
      </c>
      <c r="P376" s="6" t="s">
        <v>80</v>
      </c>
      <c r="Q376" s="8" t="s">
        <v>2520</v>
      </c>
      <c r="R376" s="10" t="s">
        <v>2521</v>
      </c>
      <c r="S376" s="11" t="s">
        <v>2522</v>
      </c>
      <c r="T376" s="6"/>
      <c r="U376" s="27" t="str">
        <f>HYPERLINK("https://media.infra-m.ru/1843/1843621/cover/1843621.jpg", "Обложка")</f>
        <v>Обложка</v>
      </c>
      <c r="V376" s="27" t="str">
        <f>HYPERLINK("https://znanium.com/catalog/product/1896455", "Ознакомиться")</f>
        <v>Ознакомиться</v>
      </c>
      <c r="W376" s="8" t="s">
        <v>287</v>
      </c>
      <c r="X376" s="6"/>
      <c r="Y376" s="6"/>
      <c r="Z376" s="6"/>
      <c r="AA376" s="6" t="s">
        <v>463</v>
      </c>
    </row>
    <row r="377" spans="1:27" s="4" customFormat="1" ht="42" customHeight="1">
      <c r="A377" s="5">
        <v>0</v>
      </c>
      <c r="B377" s="6" t="s">
        <v>2523</v>
      </c>
      <c r="C377" s="7">
        <v>998.8</v>
      </c>
      <c r="D377" s="8" t="s">
        <v>2524</v>
      </c>
      <c r="E377" s="8" t="s">
        <v>2525</v>
      </c>
      <c r="F377" s="8"/>
      <c r="G377" s="6" t="s">
        <v>1843</v>
      </c>
      <c r="H377" s="6" t="s">
        <v>53</v>
      </c>
      <c r="I377" s="8"/>
      <c r="J377" s="9">
        <v>20</v>
      </c>
      <c r="K377" s="9">
        <v>40</v>
      </c>
      <c r="L377" s="9">
        <v>2017</v>
      </c>
      <c r="M377" s="8"/>
      <c r="N377" s="8" t="s">
        <v>56</v>
      </c>
      <c r="O377" s="8" t="s">
        <v>57</v>
      </c>
      <c r="P377" s="6" t="s">
        <v>99</v>
      </c>
      <c r="Q377" s="8" t="s">
        <v>81</v>
      </c>
      <c r="R377" s="10" t="s">
        <v>2526</v>
      </c>
      <c r="S377" s="11"/>
      <c r="T377" s="6"/>
      <c r="U377" s="27" t="str">
        <f>HYPERLINK("https://media.infra-m.ru/0882/0882652/cover/882652.jpg", "Обложка")</f>
        <v>Обложка</v>
      </c>
      <c r="V377" s="27" t="str">
        <f>HYPERLINK("https://znanium.com/catalog/product/1902975", "Ознакомиться")</f>
        <v>Ознакомиться</v>
      </c>
      <c r="W377" s="8"/>
      <c r="X377" s="6"/>
      <c r="Y377" s="6"/>
      <c r="Z377" s="6"/>
      <c r="AA377" s="6"/>
    </row>
    <row r="378" spans="1:27" s="4" customFormat="1" ht="51.95" customHeight="1">
      <c r="A378" s="5">
        <v>0</v>
      </c>
      <c r="B378" s="6" t="s">
        <v>2527</v>
      </c>
      <c r="C378" s="7">
        <v>700</v>
      </c>
      <c r="D378" s="8" t="s">
        <v>2528</v>
      </c>
      <c r="E378" s="8" t="s">
        <v>2529</v>
      </c>
      <c r="F378" s="8" t="s">
        <v>2530</v>
      </c>
      <c r="G378" s="6" t="s">
        <v>52</v>
      </c>
      <c r="H378" s="6" t="s">
        <v>53</v>
      </c>
      <c r="I378" s="8" t="s">
        <v>148</v>
      </c>
      <c r="J378" s="9">
        <v>1</v>
      </c>
      <c r="K378" s="9">
        <v>153</v>
      </c>
      <c r="L378" s="9">
        <v>2024</v>
      </c>
      <c r="M378" s="8" t="s">
        <v>2531</v>
      </c>
      <c r="N378" s="8" t="s">
        <v>56</v>
      </c>
      <c r="O378" s="8" t="s">
        <v>57</v>
      </c>
      <c r="P378" s="6" t="s">
        <v>42</v>
      </c>
      <c r="Q378" s="8" t="s">
        <v>150</v>
      </c>
      <c r="R378" s="10" t="s">
        <v>285</v>
      </c>
      <c r="S378" s="11" t="s">
        <v>2532</v>
      </c>
      <c r="T378" s="6"/>
      <c r="U378" s="27" t="str">
        <f>HYPERLINK("https://media.infra-m.ru/2080/2080780/cover/2080780.jpg", "Обложка")</f>
        <v>Обложка</v>
      </c>
      <c r="V378" s="27" t="str">
        <f>HYPERLINK("https://znanium.com/catalog/product/2080780", "Ознакомиться")</f>
        <v>Ознакомиться</v>
      </c>
      <c r="W378" s="8" t="s">
        <v>2533</v>
      </c>
      <c r="X378" s="6"/>
      <c r="Y378" s="6"/>
      <c r="Z378" s="6"/>
      <c r="AA378" s="6" t="s">
        <v>253</v>
      </c>
    </row>
    <row r="379" spans="1:27" s="4" customFormat="1" ht="51.95" customHeight="1">
      <c r="A379" s="5">
        <v>0</v>
      </c>
      <c r="B379" s="6" t="s">
        <v>2534</v>
      </c>
      <c r="C379" s="7">
        <v>750</v>
      </c>
      <c r="D379" s="8" t="s">
        <v>2535</v>
      </c>
      <c r="E379" s="8" t="s">
        <v>2536</v>
      </c>
      <c r="F379" s="8" t="s">
        <v>2537</v>
      </c>
      <c r="G379" s="6" t="s">
        <v>67</v>
      </c>
      <c r="H379" s="6" t="s">
        <v>53</v>
      </c>
      <c r="I379" s="8" t="s">
        <v>148</v>
      </c>
      <c r="J379" s="9">
        <v>1</v>
      </c>
      <c r="K379" s="9">
        <v>201</v>
      </c>
      <c r="L379" s="9">
        <v>2020</v>
      </c>
      <c r="M379" s="8" t="s">
        <v>2538</v>
      </c>
      <c r="N379" s="8" t="s">
        <v>56</v>
      </c>
      <c r="O379" s="8" t="s">
        <v>57</v>
      </c>
      <c r="P379" s="6" t="s">
        <v>42</v>
      </c>
      <c r="Q379" s="8" t="s">
        <v>150</v>
      </c>
      <c r="R379" s="10" t="s">
        <v>2539</v>
      </c>
      <c r="S379" s="11" t="s">
        <v>2540</v>
      </c>
      <c r="T379" s="6"/>
      <c r="U379" s="27" t="str">
        <f>HYPERLINK("https://media.infra-m.ru/1074/1074344/cover/1074344.jpg", "Обложка")</f>
        <v>Обложка</v>
      </c>
      <c r="V379" s="27" t="str">
        <f>HYPERLINK("https://znanium.com/catalog/product/1074344", "Ознакомиться")</f>
        <v>Ознакомиться</v>
      </c>
      <c r="W379" s="8" t="s">
        <v>118</v>
      </c>
      <c r="X379" s="6"/>
      <c r="Y379" s="6"/>
      <c r="Z379" s="6"/>
      <c r="AA379" s="6" t="s">
        <v>510</v>
      </c>
    </row>
    <row r="380" spans="1:27" s="4" customFormat="1" ht="51.95" customHeight="1">
      <c r="A380" s="5">
        <v>0</v>
      </c>
      <c r="B380" s="6" t="s">
        <v>2541</v>
      </c>
      <c r="C380" s="13">
        <v>1404</v>
      </c>
      <c r="D380" s="8" t="s">
        <v>2542</v>
      </c>
      <c r="E380" s="8" t="s">
        <v>2543</v>
      </c>
      <c r="F380" s="8" t="s">
        <v>2544</v>
      </c>
      <c r="G380" s="6" t="s">
        <v>37</v>
      </c>
      <c r="H380" s="6" t="s">
        <v>53</v>
      </c>
      <c r="I380" s="8" t="s">
        <v>165</v>
      </c>
      <c r="J380" s="9">
        <v>1</v>
      </c>
      <c r="K380" s="9">
        <v>304</v>
      </c>
      <c r="L380" s="9">
        <v>2024</v>
      </c>
      <c r="M380" s="8" t="s">
        <v>2545</v>
      </c>
      <c r="N380" s="8" t="s">
        <v>56</v>
      </c>
      <c r="O380" s="8" t="s">
        <v>57</v>
      </c>
      <c r="P380" s="6" t="s">
        <v>69</v>
      </c>
      <c r="Q380" s="8" t="s">
        <v>43</v>
      </c>
      <c r="R380" s="10" t="s">
        <v>2546</v>
      </c>
      <c r="S380" s="11" t="s">
        <v>2547</v>
      </c>
      <c r="T380" s="6"/>
      <c r="U380" s="27" t="str">
        <f>HYPERLINK("https://media.infra-m.ru/2053/2053231/cover/2053231.jpg", "Обложка")</f>
        <v>Обложка</v>
      </c>
      <c r="V380" s="27" t="str">
        <f>HYPERLINK("https://znanium.com/catalog/product/1948204", "Ознакомиться")</f>
        <v>Ознакомиться</v>
      </c>
      <c r="W380" s="8" t="s">
        <v>118</v>
      </c>
      <c r="X380" s="6"/>
      <c r="Y380" s="6"/>
      <c r="Z380" s="6"/>
      <c r="AA380" s="6" t="s">
        <v>2548</v>
      </c>
    </row>
    <row r="381" spans="1:27" s="4" customFormat="1" ht="51.95" customHeight="1">
      <c r="A381" s="5">
        <v>0</v>
      </c>
      <c r="B381" s="6" t="s">
        <v>2549</v>
      </c>
      <c r="C381" s="13">
        <v>1770</v>
      </c>
      <c r="D381" s="8" t="s">
        <v>2550</v>
      </c>
      <c r="E381" s="8" t="s">
        <v>2551</v>
      </c>
      <c r="F381" s="8" t="s">
        <v>2552</v>
      </c>
      <c r="G381" s="6" t="s">
        <v>67</v>
      </c>
      <c r="H381" s="6" t="s">
        <v>53</v>
      </c>
      <c r="I381" s="8" t="s">
        <v>2553</v>
      </c>
      <c r="J381" s="9">
        <v>1</v>
      </c>
      <c r="K381" s="9">
        <v>384</v>
      </c>
      <c r="L381" s="9">
        <v>2024</v>
      </c>
      <c r="M381" s="8" t="s">
        <v>2554</v>
      </c>
      <c r="N381" s="8" t="s">
        <v>56</v>
      </c>
      <c r="O381" s="8" t="s">
        <v>57</v>
      </c>
      <c r="P381" s="6" t="s">
        <v>69</v>
      </c>
      <c r="Q381" s="8" t="s">
        <v>785</v>
      </c>
      <c r="R381" s="10" t="s">
        <v>2555</v>
      </c>
      <c r="S381" s="11" t="s">
        <v>133</v>
      </c>
      <c r="T381" s="6" t="s">
        <v>277</v>
      </c>
      <c r="U381" s="27" t="str">
        <f>HYPERLINK("https://media.infra-m.ru/2079/2079239/cover/2079239.jpg", "Обложка")</f>
        <v>Обложка</v>
      </c>
      <c r="V381" s="27" t="str">
        <f>HYPERLINK("https://znanium.com/catalog/product/2079239", "Ознакомиться")</f>
        <v>Ознакомиться</v>
      </c>
      <c r="W381" s="8" t="s">
        <v>134</v>
      </c>
      <c r="X381" s="6"/>
      <c r="Y381" s="6"/>
      <c r="Z381" s="6"/>
      <c r="AA381" s="6" t="s">
        <v>592</v>
      </c>
    </row>
    <row r="382" spans="1:27" s="4" customFormat="1" ht="51.95" customHeight="1">
      <c r="A382" s="5">
        <v>0</v>
      </c>
      <c r="B382" s="6" t="s">
        <v>2556</v>
      </c>
      <c r="C382" s="7">
        <v>674.9</v>
      </c>
      <c r="D382" s="8" t="s">
        <v>2557</v>
      </c>
      <c r="E382" s="8" t="s">
        <v>2558</v>
      </c>
      <c r="F382" s="8" t="s">
        <v>2559</v>
      </c>
      <c r="G382" s="6" t="s">
        <v>67</v>
      </c>
      <c r="H382" s="6" t="s">
        <v>53</v>
      </c>
      <c r="I382" s="8" t="s">
        <v>165</v>
      </c>
      <c r="J382" s="9">
        <v>1</v>
      </c>
      <c r="K382" s="9">
        <v>187</v>
      </c>
      <c r="L382" s="9">
        <v>2021</v>
      </c>
      <c r="M382" s="8" t="s">
        <v>2560</v>
      </c>
      <c r="N382" s="8" t="s">
        <v>56</v>
      </c>
      <c r="O382" s="8" t="s">
        <v>57</v>
      </c>
      <c r="P382" s="6" t="s">
        <v>42</v>
      </c>
      <c r="Q382" s="8" t="s">
        <v>43</v>
      </c>
      <c r="R382" s="10" t="s">
        <v>285</v>
      </c>
      <c r="S382" s="11" t="s">
        <v>2561</v>
      </c>
      <c r="T382" s="6"/>
      <c r="U382" s="27" t="str">
        <f>HYPERLINK("https://media.infra-m.ru/1239/1239536/cover/1239536.jpg", "Обложка")</f>
        <v>Обложка</v>
      </c>
      <c r="V382" s="27" t="str">
        <f>HYPERLINK("https://znanium.com/catalog/product/1858248", "Ознакомиться")</f>
        <v>Ознакомиться</v>
      </c>
      <c r="W382" s="8" t="s">
        <v>91</v>
      </c>
      <c r="X382" s="6"/>
      <c r="Y382" s="6"/>
      <c r="Z382" s="6"/>
      <c r="AA382" s="6" t="s">
        <v>301</v>
      </c>
    </row>
    <row r="383" spans="1:27" s="4" customFormat="1" ht="51.95" customHeight="1">
      <c r="A383" s="5">
        <v>0</v>
      </c>
      <c r="B383" s="6" t="s">
        <v>2562</v>
      </c>
      <c r="C383" s="13">
        <v>1510</v>
      </c>
      <c r="D383" s="8" t="s">
        <v>2563</v>
      </c>
      <c r="E383" s="8" t="s">
        <v>2564</v>
      </c>
      <c r="F383" s="8" t="s">
        <v>2565</v>
      </c>
      <c r="G383" s="6" t="s">
        <v>52</v>
      </c>
      <c r="H383" s="6" t="s">
        <v>53</v>
      </c>
      <c r="I383" s="8" t="s">
        <v>130</v>
      </c>
      <c r="J383" s="9">
        <v>1</v>
      </c>
      <c r="K383" s="9">
        <v>337</v>
      </c>
      <c r="L383" s="9">
        <v>2023</v>
      </c>
      <c r="M383" s="8" t="s">
        <v>2566</v>
      </c>
      <c r="N383" s="8" t="s">
        <v>56</v>
      </c>
      <c r="O383" s="8" t="s">
        <v>57</v>
      </c>
      <c r="P383" s="6" t="s">
        <v>69</v>
      </c>
      <c r="Q383" s="8" t="s">
        <v>785</v>
      </c>
      <c r="R383" s="10" t="s">
        <v>2567</v>
      </c>
      <c r="S383" s="11" t="s">
        <v>2568</v>
      </c>
      <c r="T383" s="6"/>
      <c r="U383" s="27" t="str">
        <f>HYPERLINK("https://media.infra-m.ru/1913/1913854/cover/1913854.jpg", "Обложка")</f>
        <v>Обложка</v>
      </c>
      <c r="V383" s="27" t="str">
        <f>HYPERLINK("https://znanium.com/catalog/product/1913854", "Ознакомиться")</f>
        <v>Ознакомиться</v>
      </c>
      <c r="W383" s="8" t="s">
        <v>72</v>
      </c>
      <c r="X383" s="6"/>
      <c r="Y383" s="6"/>
      <c r="Z383" s="6"/>
      <c r="AA383" s="6" t="s">
        <v>592</v>
      </c>
    </row>
    <row r="384" spans="1:27" s="4" customFormat="1" ht="51.95" customHeight="1">
      <c r="A384" s="5">
        <v>0</v>
      </c>
      <c r="B384" s="6" t="s">
        <v>2569</v>
      </c>
      <c r="C384" s="13">
        <v>1784</v>
      </c>
      <c r="D384" s="8" t="s">
        <v>2570</v>
      </c>
      <c r="E384" s="8" t="s">
        <v>2571</v>
      </c>
      <c r="F384" s="8" t="s">
        <v>2310</v>
      </c>
      <c r="G384" s="6" t="s">
        <v>67</v>
      </c>
      <c r="H384" s="6" t="s">
        <v>53</v>
      </c>
      <c r="I384" s="8" t="s">
        <v>165</v>
      </c>
      <c r="J384" s="9">
        <v>1</v>
      </c>
      <c r="K384" s="9">
        <v>388</v>
      </c>
      <c r="L384" s="9">
        <v>2024</v>
      </c>
      <c r="M384" s="8" t="s">
        <v>2572</v>
      </c>
      <c r="N384" s="8" t="s">
        <v>56</v>
      </c>
      <c r="O384" s="8" t="s">
        <v>57</v>
      </c>
      <c r="P384" s="6" t="s">
        <v>42</v>
      </c>
      <c r="Q384" s="8" t="s">
        <v>43</v>
      </c>
      <c r="R384" s="10" t="s">
        <v>2320</v>
      </c>
      <c r="S384" s="11" t="s">
        <v>2573</v>
      </c>
      <c r="T384" s="6"/>
      <c r="U384" s="27" t="str">
        <f>HYPERLINK("https://media.infra-m.ru/2073/2073496/cover/2073496.jpg", "Обложка")</f>
        <v>Обложка</v>
      </c>
      <c r="V384" s="27" t="str">
        <f>HYPERLINK("https://znanium.com/catalog/product/1839692", "Ознакомиться")</f>
        <v>Ознакомиться</v>
      </c>
      <c r="W384" s="8" t="s">
        <v>2314</v>
      </c>
      <c r="X384" s="6"/>
      <c r="Y384" s="6"/>
      <c r="Z384" s="6"/>
      <c r="AA384" s="6" t="s">
        <v>294</v>
      </c>
    </row>
    <row r="385" spans="1:27" s="4" customFormat="1" ht="51.95" customHeight="1">
      <c r="A385" s="5">
        <v>0</v>
      </c>
      <c r="B385" s="6" t="s">
        <v>2574</v>
      </c>
      <c r="C385" s="13">
        <v>1444.9</v>
      </c>
      <c r="D385" s="8" t="s">
        <v>2575</v>
      </c>
      <c r="E385" s="8" t="s">
        <v>2576</v>
      </c>
      <c r="F385" s="8" t="s">
        <v>2577</v>
      </c>
      <c r="G385" s="6" t="s">
        <v>52</v>
      </c>
      <c r="H385" s="6" t="s">
        <v>98</v>
      </c>
      <c r="I385" s="8" t="s">
        <v>114</v>
      </c>
      <c r="J385" s="9">
        <v>1</v>
      </c>
      <c r="K385" s="9">
        <v>337</v>
      </c>
      <c r="L385" s="9">
        <v>2019</v>
      </c>
      <c r="M385" s="8" t="s">
        <v>2578</v>
      </c>
      <c r="N385" s="8" t="s">
        <v>56</v>
      </c>
      <c r="O385" s="8" t="s">
        <v>57</v>
      </c>
      <c r="P385" s="6" t="s">
        <v>116</v>
      </c>
      <c r="Q385" s="8" t="s">
        <v>81</v>
      </c>
      <c r="R385" s="10" t="s">
        <v>2579</v>
      </c>
      <c r="S385" s="11"/>
      <c r="T385" s="6"/>
      <c r="U385" s="27" t="str">
        <f>HYPERLINK("https://media.infra-m.ru/1010/1010096/cover/1010096.jpg", "Обложка")</f>
        <v>Обложка</v>
      </c>
      <c r="V385" s="27" t="str">
        <f>HYPERLINK("https://znanium.com/catalog/product/1010096", "Ознакомиться")</f>
        <v>Ознакомиться</v>
      </c>
      <c r="W385" s="8" t="s">
        <v>2314</v>
      </c>
      <c r="X385" s="6"/>
      <c r="Y385" s="6"/>
      <c r="Z385" s="6"/>
      <c r="AA385" s="6" t="s">
        <v>208</v>
      </c>
    </row>
    <row r="386" spans="1:27" s="4" customFormat="1" ht="51.95" customHeight="1">
      <c r="A386" s="5">
        <v>0</v>
      </c>
      <c r="B386" s="6" t="s">
        <v>2580</v>
      </c>
      <c r="C386" s="13">
        <v>1144</v>
      </c>
      <c r="D386" s="8" t="s">
        <v>2581</v>
      </c>
      <c r="E386" s="8" t="s">
        <v>2582</v>
      </c>
      <c r="F386" s="8" t="s">
        <v>2583</v>
      </c>
      <c r="G386" s="6" t="s">
        <v>52</v>
      </c>
      <c r="H386" s="6" t="s">
        <v>53</v>
      </c>
      <c r="I386" s="8" t="s">
        <v>114</v>
      </c>
      <c r="J386" s="9">
        <v>1</v>
      </c>
      <c r="K386" s="9">
        <v>253</v>
      </c>
      <c r="L386" s="9">
        <v>2023</v>
      </c>
      <c r="M386" s="8" t="s">
        <v>2584</v>
      </c>
      <c r="N386" s="8" t="s">
        <v>56</v>
      </c>
      <c r="O386" s="8" t="s">
        <v>57</v>
      </c>
      <c r="P386" s="6" t="s">
        <v>116</v>
      </c>
      <c r="Q386" s="8" t="s">
        <v>81</v>
      </c>
      <c r="R386" s="10" t="s">
        <v>2585</v>
      </c>
      <c r="S386" s="11"/>
      <c r="T386" s="6"/>
      <c r="U386" s="27" t="str">
        <f>HYPERLINK("https://media.infra-m.ru/2045/2045964/cover/2045964.jpg", "Обложка")</f>
        <v>Обложка</v>
      </c>
      <c r="V386" s="27" t="str">
        <f>HYPERLINK("https://znanium.com/catalog/product/1082948", "Ознакомиться")</f>
        <v>Ознакомиться</v>
      </c>
      <c r="W386" s="8" t="s">
        <v>2314</v>
      </c>
      <c r="X386" s="6"/>
      <c r="Y386" s="6"/>
      <c r="Z386" s="6"/>
      <c r="AA386" s="6" t="s">
        <v>143</v>
      </c>
    </row>
    <row r="387" spans="1:27" s="4" customFormat="1" ht="51.95" customHeight="1">
      <c r="A387" s="5">
        <v>0</v>
      </c>
      <c r="B387" s="6" t="s">
        <v>2586</v>
      </c>
      <c r="C387" s="7">
        <v>714.9</v>
      </c>
      <c r="D387" s="8" t="s">
        <v>2587</v>
      </c>
      <c r="E387" s="8" t="s">
        <v>2588</v>
      </c>
      <c r="F387" s="8" t="s">
        <v>2589</v>
      </c>
      <c r="G387" s="6" t="s">
        <v>52</v>
      </c>
      <c r="H387" s="6" t="s">
        <v>385</v>
      </c>
      <c r="I387" s="8" t="s">
        <v>783</v>
      </c>
      <c r="J387" s="9">
        <v>1</v>
      </c>
      <c r="K387" s="9">
        <v>208</v>
      </c>
      <c r="L387" s="9">
        <v>2020</v>
      </c>
      <c r="M387" s="8" t="s">
        <v>2590</v>
      </c>
      <c r="N387" s="8" t="s">
        <v>56</v>
      </c>
      <c r="O387" s="8" t="s">
        <v>57</v>
      </c>
      <c r="P387" s="6" t="s">
        <v>783</v>
      </c>
      <c r="Q387" s="8" t="s">
        <v>43</v>
      </c>
      <c r="R387" s="10" t="s">
        <v>2591</v>
      </c>
      <c r="S387" s="11"/>
      <c r="T387" s="6"/>
      <c r="U387" s="27" t="str">
        <f>HYPERLINK("https://media.infra-m.ru/1081/1081136/cover/1081136.jpg", "Обложка")</f>
        <v>Обложка</v>
      </c>
      <c r="V387" s="27" t="str">
        <f>HYPERLINK("https://znanium.com/catalog/product/1026957", "Ознакомиться")</f>
        <v>Ознакомиться</v>
      </c>
      <c r="W387" s="8" t="s">
        <v>539</v>
      </c>
      <c r="X387" s="6"/>
      <c r="Y387" s="6"/>
      <c r="Z387" s="6"/>
      <c r="AA387" s="6" t="s">
        <v>47</v>
      </c>
    </row>
    <row r="388" spans="1:27" s="4" customFormat="1" ht="51.95" customHeight="1">
      <c r="A388" s="5">
        <v>0</v>
      </c>
      <c r="B388" s="6" t="s">
        <v>2592</v>
      </c>
      <c r="C388" s="7">
        <v>399.9</v>
      </c>
      <c r="D388" s="8" t="s">
        <v>2593</v>
      </c>
      <c r="E388" s="8" t="s">
        <v>2594</v>
      </c>
      <c r="F388" s="8" t="s">
        <v>2595</v>
      </c>
      <c r="G388" s="6" t="s">
        <v>37</v>
      </c>
      <c r="H388" s="6" t="s">
        <v>53</v>
      </c>
      <c r="I388" s="8" t="s">
        <v>54</v>
      </c>
      <c r="J388" s="9">
        <v>16</v>
      </c>
      <c r="K388" s="9">
        <v>224</v>
      </c>
      <c r="L388" s="9">
        <v>2016</v>
      </c>
      <c r="M388" s="8" t="s">
        <v>2596</v>
      </c>
      <c r="N388" s="8" t="s">
        <v>56</v>
      </c>
      <c r="O388" s="8" t="s">
        <v>57</v>
      </c>
      <c r="P388" s="6" t="s">
        <v>42</v>
      </c>
      <c r="Q388" s="8" t="s">
        <v>43</v>
      </c>
      <c r="R388" s="10" t="s">
        <v>2597</v>
      </c>
      <c r="S388" s="11" t="s">
        <v>2598</v>
      </c>
      <c r="T388" s="6"/>
      <c r="U388" s="27" t="str">
        <f>HYPERLINK("https://media.infra-m.ru/0520/0520898/cover/520898.jpg", "Обложка")</f>
        <v>Обложка</v>
      </c>
      <c r="V388" s="27" t="str">
        <f>HYPERLINK("https://znanium.com/catalog/product/347242", "Ознакомиться")</f>
        <v>Ознакомиться</v>
      </c>
      <c r="W388" s="8" t="s">
        <v>134</v>
      </c>
      <c r="X388" s="6"/>
      <c r="Y388" s="6"/>
      <c r="Z388" s="6"/>
      <c r="AA388" s="6" t="s">
        <v>208</v>
      </c>
    </row>
    <row r="389" spans="1:27" s="4" customFormat="1" ht="51.95" customHeight="1">
      <c r="A389" s="5">
        <v>0</v>
      </c>
      <c r="B389" s="6" t="s">
        <v>2599</v>
      </c>
      <c r="C389" s="13">
        <v>1824</v>
      </c>
      <c r="D389" s="8" t="s">
        <v>2600</v>
      </c>
      <c r="E389" s="8" t="s">
        <v>2601</v>
      </c>
      <c r="F389" s="8" t="s">
        <v>2602</v>
      </c>
      <c r="G389" s="6" t="s">
        <v>37</v>
      </c>
      <c r="H389" s="6" t="s">
        <v>867</v>
      </c>
      <c r="I389" s="8" t="s">
        <v>54</v>
      </c>
      <c r="J389" s="9">
        <v>1</v>
      </c>
      <c r="K389" s="9">
        <v>395</v>
      </c>
      <c r="L389" s="9">
        <v>2024</v>
      </c>
      <c r="M389" s="8" t="s">
        <v>2603</v>
      </c>
      <c r="N389" s="8" t="s">
        <v>56</v>
      </c>
      <c r="O389" s="8" t="s">
        <v>57</v>
      </c>
      <c r="P389" s="6" t="s">
        <v>1000</v>
      </c>
      <c r="Q389" s="8" t="s">
        <v>43</v>
      </c>
      <c r="R389" s="10" t="s">
        <v>2604</v>
      </c>
      <c r="S389" s="11"/>
      <c r="T389" s="6"/>
      <c r="U389" s="27" t="str">
        <f>HYPERLINK("https://media.infra-m.ru/2054/2054995/cover/2054995.jpg", "Обложка")</f>
        <v>Обложка</v>
      </c>
      <c r="V389" s="27" t="str">
        <f>HYPERLINK("https://znanium.com/catalog/product/1221789", "Ознакомиться")</f>
        <v>Ознакомиться</v>
      </c>
      <c r="W389" s="8" t="s">
        <v>72</v>
      </c>
      <c r="X389" s="6"/>
      <c r="Y389" s="6"/>
      <c r="Z389" s="6"/>
      <c r="AA389" s="6" t="s">
        <v>135</v>
      </c>
    </row>
    <row r="390" spans="1:27" s="4" customFormat="1" ht="51.95" customHeight="1">
      <c r="A390" s="5">
        <v>0</v>
      </c>
      <c r="B390" s="6" t="s">
        <v>2605</v>
      </c>
      <c r="C390" s="7">
        <v>614.9</v>
      </c>
      <c r="D390" s="8" t="s">
        <v>2606</v>
      </c>
      <c r="E390" s="8" t="s">
        <v>2607</v>
      </c>
      <c r="F390" s="8" t="s">
        <v>2608</v>
      </c>
      <c r="G390" s="6" t="s">
        <v>52</v>
      </c>
      <c r="H390" s="6" t="s">
        <v>53</v>
      </c>
      <c r="I390" s="8" t="s">
        <v>114</v>
      </c>
      <c r="J390" s="9">
        <v>1</v>
      </c>
      <c r="K390" s="9">
        <v>176</v>
      </c>
      <c r="L390" s="9">
        <v>2020</v>
      </c>
      <c r="M390" s="8" t="s">
        <v>2609</v>
      </c>
      <c r="N390" s="8" t="s">
        <v>56</v>
      </c>
      <c r="O390" s="8" t="s">
        <v>57</v>
      </c>
      <c r="P390" s="6" t="s">
        <v>116</v>
      </c>
      <c r="Q390" s="8" t="s">
        <v>81</v>
      </c>
      <c r="R390" s="10" t="s">
        <v>2610</v>
      </c>
      <c r="S390" s="11"/>
      <c r="T390" s="6"/>
      <c r="U390" s="27" t="str">
        <f>HYPERLINK("https://media.infra-m.ru/1049/1049594/cover/1049594.jpg", "Обложка")</f>
        <v>Обложка</v>
      </c>
      <c r="V390" s="27" t="str">
        <f>HYPERLINK("https://znanium.com/catalog/product/1049594", "Ознакомиться")</f>
        <v>Ознакомиться</v>
      </c>
      <c r="W390" s="8" t="s">
        <v>287</v>
      </c>
      <c r="X390" s="6"/>
      <c r="Y390" s="6"/>
      <c r="Z390" s="6"/>
      <c r="AA390" s="6" t="s">
        <v>84</v>
      </c>
    </row>
    <row r="391" spans="1:27" s="4" customFormat="1" ht="42" customHeight="1">
      <c r="A391" s="5">
        <v>0</v>
      </c>
      <c r="B391" s="6" t="s">
        <v>2611</v>
      </c>
      <c r="C391" s="13">
        <v>1240</v>
      </c>
      <c r="D391" s="8" t="s">
        <v>2612</v>
      </c>
      <c r="E391" s="8" t="s">
        <v>2613</v>
      </c>
      <c r="F391" s="8" t="s">
        <v>2197</v>
      </c>
      <c r="G391" s="6" t="s">
        <v>67</v>
      </c>
      <c r="H391" s="6" t="s">
        <v>38</v>
      </c>
      <c r="I391" s="8" t="s">
        <v>54</v>
      </c>
      <c r="J391" s="9">
        <v>1</v>
      </c>
      <c r="K391" s="9">
        <v>278</v>
      </c>
      <c r="L391" s="9">
        <v>2021</v>
      </c>
      <c r="M391" s="8" t="s">
        <v>2614</v>
      </c>
      <c r="N391" s="8" t="s">
        <v>56</v>
      </c>
      <c r="O391" s="8" t="s">
        <v>57</v>
      </c>
      <c r="P391" s="6" t="s">
        <v>42</v>
      </c>
      <c r="Q391" s="8" t="s">
        <v>43</v>
      </c>
      <c r="R391" s="10" t="s">
        <v>1245</v>
      </c>
      <c r="S391" s="11"/>
      <c r="T391" s="6"/>
      <c r="U391" s="27" t="str">
        <f>HYPERLINK("https://media.infra-m.ru/1150/1150325/cover/1150325.jpg", "Обложка")</f>
        <v>Обложка</v>
      </c>
      <c r="V391" s="27" t="str">
        <f>HYPERLINK("https://znanium.com/catalog/product/1150325", "Ознакомиться")</f>
        <v>Ознакомиться</v>
      </c>
      <c r="W391" s="8" t="s">
        <v>2200</v>
      </c>
      <c r="X391" s="6"/>
      <c r="Y391" s="6"/>
      <c r="Z391" s="6"/>
      <c r="AA391" s="6" t="s">
        <v>253</v>
      </c>
    </row>
    <row r="392" spans="1:27" s="4" customFormat="1" ht="51.95" customHeight="1">
      <c r="A392" s="5">
        <v>0</v>
      </c>
      <c r="B392" s="6" t="s">
        <v>2615</v>
      </c>
      <c r="C392" s="7">
        <v>580</v>
      </c>
      <c r="D392" s="8" t="s">
        <v>2616</v>
      </c>
      <c r="E392" s="8" t="s">
        <v>2617</v>
      </c>
      <c r="F392" s="8" t="s">
        <v>2618</v>
      </c>
      <c r="G392" s="6" t="s">
        <v>52</v>
      </c>
      <c r="H392" s="6" t="s">
        <v>53</v>
      </c>
      <c r="I392" s="8" t="s">
        <v>165</v>
      </c>
      <c r="J392" s="9">
        <v>1</v>
      </c>
      <c r="K392" s="9">
        <v>151</v>
      </c>
      <c r="L392" s="9">
        <v>2022</v>
      </c>
      <c r="M392" s="8" t="s">
        <v>2619</v>
      </c>
      <c r="N392" s="8" t="s">
        <v>56</v>
      </c>
      <c r="O392" s="8" t="s">
        <v>57</v>
      </c>
      <c r="P392" s="6" t="s">
        <v>42</v>
      </c>
      <c r="Q392" s="8" t="s">
        <v>43</v>
      </c>
      <c r="R392" s="10" t="s">
        <v>2262</v>
      </c>
      <c r="S392" s="11" t="s">
        <v>2620</v>
      </c>
      <c r="T392" s="6"/>
      <c r="U392" s="27" t="str">
        <f>HYPERLINK("https://media.infra-m.ru/1859/1859600/cover/1859600.jpg", "Обложка")</f>
        <v>Обложка</v>
      </c>
      <c r="V392" s="27" t="str">
        <f>HYPERLINK("https://znanium.com/catalog/product/1859600", "Ознакомиться")</f>
        <v>Ознакомиться</v>
      </c>
      <c r="W392" s="8" t="s">
        <v>2022</v>
      </c>
      <c r="X392" s="6"/>
      <c r="Y392" s="6"/>
      <c r="Z392" s="6"/>
      <c r="AA392" s="6" t="s">
        <v>308</v>
      </c>
    </row>
    <row r="393" spans="1:27" s="4" customFormat="1" ht="51.95" customHeight="1">
      <c r="A393" s="5">
        <v>0</v>
      </c>
      <c r="B393" s="6" t="s">
        <v>2621</v>
      </c>
      <c r="C393" s="13">
        <v>1444.9</v>
      </c>
      <c r="D393" s="8" t="s">
        <v>2622</v>
      </c>
      <c r="E393" s="8" t="s">
        <v>2623</v>
      </c>
      <c r="F393" s="8" t="s">
        <v>2624</v>
      </c>
      <c r="G393" s="6" t="s">
        <v>37</v>
      </c>
      <c r="H393" s="6" t="s">
        <v>53</v>
      </c>
      <c r="I393" s="8" t="s">
        <v>165</v>
      </c>
      <c r="J393" s="9">
        <v>1</v>
      </c>
      <c r="K393" s="9">
        <v>320</v>
      </c>
      <c r="L393" s="9">
        <v>2023</v>
      </c>
      <c r="M393" s="8" t="s">
        <v>2625</v>
      </c>
      <c r="N393" s="8" t="s">
        <v>56</v>
      </c>
      <c r="O393" s="8" t="s">
        <v>57</v>
      </c>
      <c r="P393" s="6" t="s">
        <v>42</v>
      </c>
      <c r="Q393" s="8" t="s">
        <v>43</v>
      </c>
      <c r="R393" s="10" t="s">
        <v>2626</v>
      </c>
      <c r="S393" s="11" t="s">
        <v>2627</v>
      </c>
      <c r="T393" s="6"/>
      <c r="U393" s="27" t="str">
        <f>HYPERLINK("https://media.infra-m.ru/1905/1905183/cover/1905183.jpg", "Обложка")</f>
        <v>Обложка</v>
      </c>
      <c r="V393" s="27" t="str">
        <f>HYPERLINK("https://znanium.com/catalog/product/2015304", "Ознакомиться")</f>
        <v>Ознакомиться</v>
      </c>
      <c r="W393" s="8" t="s">
        <v>287</v>
      </c>
      <c r="X393" s="6"/>
      <c r="Y393" s="6"/>
      <c r="Z393" s="6"/>
      <c r="AA393" s="6" t="s">
        <v>463</v>
      </c>
    </row>
    <row r="394" spans="1:27" s="4" customFormat="1" ht="51.95" customHeight="1">
      <c r="A394" s="5">
        <v>0</v>
      </c>
      <c r="B394" s="6" t="s">
        <v>2628</v>
      </c>
      <c r="C394" s="13">
        <v>1214.9000000000001</v>
      </c>
      <c r="D394" s="8" t="s">
        <v>2629</v>
      </c>
      <c r="E394" s="8" t="s">
        <v>2630</v>
      </c>
      <c r="F394" s="8" t="s">
        <v>2624</v>
      </c>
      <c r="G394" s="6" t="s">
        <v>37</v>
      </c>
      <c r="H394" s="6" t="s">
        <v>53</v>
      </c>
      <c r="I394" s="8" t="s">
        <v>165</v>
      </c>
      <c r="J394" s="9">
        <v>1</v>
      </c>
      <c r="K394" s="9">
        <v>320</v>
      </c>
      <c r="L394" s="9">
        <v>2022</v>
      </c>
      <c r="M394" s="8" t="s">
        <v>2625</v>
      </c>
      <c r="N394" s="8" t="s">
        <v>56</v>
      </c>
      <c r="O394" s="8" t="s">
        <v>57</v>
      </c>
      <c r="P394" s="6" t="s">
        <v>42</v>
      </c>
      <c r="Q394" s="8" t="s">
        <v>43</v>
      </c>
      <c r="R394" s="10" t="s">
        <v>2626</v>
      </c>
      <c r="S394" s="11" t="s">
        <v>2627</v>
      </c>
      <c r="T394" s="6"/>
      <c r="U394" s="27" t="str">
        <f>HYPERLINK("https://media.infra-m.ru/1005/1005822/cover/1005822.jpg", "Обложка")</f>
        <v>Обложка</v>
      </c>
      <c r="V394" s="27" t="str">
        <f>HYPERLINK("https://znanium.com/catalog/product/2015304", "Ознакомиться")</f>
        <v>Ознакомиться</v>
      </c>
      <c r="W394" s="8" t="s">
        <v>287</v>
      </c>
      <c r="X394" s="6"/>
      <c r="Y394" s="6"/>
      <c r="Z394" s="6"/>
      <c r="AA394" s="6" t="s">
        <v>2631</v>
      </c>
    </row>
    <row r="395" spans="1:27" s="4" customFormat="1" ht="51.95" customHeight="1">
      <c r="A395" s="5">
        <v>0</v>
      </c>
      <c r="B395" s="6" t="s">
        <v>2632</v>
      </c>
      <c r="C395" s="7">
        <v>744.9</v>
      </c>
      <c r="D395" s="8" t="s">
        <v>2633</v>
      </c>
      <c r="E395" s="8" t="s">
        <v>2634</v>
      </c>
      <c r="F395" s="8" t="s">
        <v>1375</v>
      </c>
      <c r="G395" s="6" t="s">
        <v>37</v>
      </c>
      <c r="H395" s="6" t="s">
        <v>867</v>
      </c>
      <c r="I395" s="8" t="s">
        <v>54</v>
      </c>
      <c r="J395" s="9">
        <v>1</v>
      </c>
      <c r="K395" s="9">
        <v>256</v>
      </c>
      <c r="L395" s="9">
        <v>2017</v>
      </c>
      <c r="M395" s="8" t="s">
        <v>2625</v>
      </c>
      <c r="N395" s="8" t="s">
        <v>56</v>
      </c>
      <c r="O395" s="8" t="s">
        <v>57</v>
      </c>
      <c r="P395" s="6" t="s">
        <v>42</v>
      </c>
      <c r="Q395" s="8" t="s">
        <v>43</v>
      </c>
      <c r="R395" s="10" t="s">
        <v>2626</v>
      </c>
      <c r="S395" s="11" t="s">
        <v>2635</v>
      </c>
      <c r="T395" s="6"/>
      <c r="U395" s="27" t="str">
        <f>HYPERLINK("https://media.infra-m.ru/0891/0891865/cover/891865.jpg", "Обложка")</f>
        <v>Обложка</v>
      </c>
      <c r="V395" s="27" t="str">
        <f>HYPERLINK("https://znanium.com/catalog/product/2015304", "Ознакомиться")</f>
        <v>Ознакомиться</v>
      </c>
      <c r="W395" s="8" t="s">
        <v>287</v>
      </c>
      <c r="X395" s="6"/>
      <c r="Y395" s="6"/>
      <c r="Z395" s="6"/>
      <c r="AA395" s="6" t="s">
        <v>548</v>
      </c>
    </row>
    <row r="396" spans="1:27" s="4" customFormat="1" ht="51.95" customHeight="1">
      <c r="A396" s="5">
        <v>0</v>
      </c>
      <c r="B396" s="6" t="s">
        <v>2636</v>
      </c>
      <c r="C396" s="7">
        <v>584.9</v>
      </c>
      <c r="D396" s="8" t="s">
        <v>2637</v>
      </c>
      <c r="E396" s="8" t="s">
        <v>2638</v>
      </c>
      <c r="F396" s="8" t="s">
        <v>2639</v>
      </c>
      <c r="G396" s="6" t="s">
        <v>37</v>
      </c>
      <c r="H396" s="6" t="s">
        <v>867</v>
      </c>
      <c r="I396" s="8" t="s">
        <v>130</v>
      </c>
      <c r="J396" s="9">
        <v>1</v>
      </c>
      <c r="K396" s="9">
        <v>157</v>
      </c>
      <c r="L396" s="9">
        <v>2022</v>
      </c>
      <c r="M396" s="8" t="s">
        <v>2640</v>
      </c>
      <c r="N396" s="8" t="s">
        <v>56</v>
      </c>
      <c r="O396" s="8" t="s">
        <v>57</v>
      </c>
      <c r="P396" s="6" t="s">
        <v>42</v>
      </c>
      <c r="Q396" s="8" t="s">
        <v>43</v>
      </c>
      <c r="R396" s="10" t="s">
        <v>2641</v>
      </c>
      <c r="S396" s="11" t="s">
        <v>133</v>
      </c>
      <c r="T396" s="6"/>
      <c r="U396" s="27" t="str">
        <f>HYPERLINK("https://media.infra-m.ru/1746/1746852/cover/1746852.jpg", "Обложка")</f>
        <v>Обложка</v>
      </c>
      <c r="V396" s="27" t="str">
        <f>HYPERLINK("https://znanium.com/catalog/product/1746852", "Ознакомиться")</f>
        <v>Ознакомиться</v>
      </c>
      <c r="W396" s="8" t="s">
        <v>72</v>
      </c>
      <c r="X396" s="6"/>
      <c r="Y396" s="6"/>
      <c r="Z396" s="6"/>
      <c r="AA396" s="6" t="s">
        <v>592</v>
      </c>
    </row>
    <row r="397" spans="1:27" s="4" customFormat="1" ht="51.95" customHeight="1">
      <c r="A397" s="5">
        <v>0</v>
      </c>
      <c r="B397" s="6" t="s">
        <v>2642</v>
      </c>
      <c r="C397" s="13">
        <v>1120</v>
      </c>
      <c r="D397" s="8" t="s">
        <v>2643</v>
      </c>
      <c r="E397" s="8" t="s">
        <v>2644</v>
      </c>
      <c r="F397" s="8" t="s">
        <v>2645</v>
      </c>
      <c r="G397" s="6" t="s">
        <v>52</v>
      </c>
      <c r="H397" s="6" t="s">
        <v>53</v>
      </c>
      <c r="I397" s="8" t="s">
        <v>165</v>
      </c>
      <c r="J397" s="9">
        <v>1</v>
      </c>
      <c r="K397" s="9">
        <v>237</v>
      </c>
      <c r="L397" s="9">
        <v>2023</v>
      </c>
      <c r="M397" s="8" t="s">
        <v>2646</v>
      </c>
      <c r="N397" s="8" t="s">
        <v>56</v>
      </c>
      <c r="O397" s="8" t="s">
        <v>57</v>
      </c>
      <c r="P397" s="6" t="s">
        <v>42</v>
      </c>
      <c r="Q397" s="8" t="s">
        <v>43</v>
      </c>
      <c r="R397" s="10" t="s">
        <v>2647</v>
      </c>
      <c r="S397" s="11" t="s">
        <v>2648</v>
      </c>
      <c r="T397" s="6"/>
      <c r="U397" s="27" t="str">
        <f>HYPERLINK("https://media.infra-m.ru/2057/2057643/cover/2057643.jpg", "Обложка")</f>
        <v>Обложка</v>
      </c>
      <c r="V397" s="27" t="str">
        <f>HYPERLINK("https://znanium.com/catalog/product/2057643", "Ознакомиться")</f>
        <v>Ознакомиться</v>
      </c>
      <c r="W397" s="8" t="s">
        <v>2649</v>
      </c>
      <c r="X397" s="6"/>
      <c r="Y397" s="6"/>
      <c r="Z397" s="6"/>
      <c r="AA397" s="6" t="s">
        <v>301</v>
      </c>
    </row>
    <row r="398" spans="1:27" s="4" customFormat="1" ht="51.95" customHeight="1">
      <c r="A398" s="5">
        <v>0</v>
      </c>
      <c r="B398" s="6" t="s">
        <v>2650</v>
      </c>
      <c r="C398" s="13">
        <v>1254</v>
      </c>
      <c r="D398" s="8" t="s">
        <v>2651</v>
      </c>
      <c r="E398" s="8" t="s">
        <v>2652</v>
      </c>
      <c r="F398" s="8" t="s">
        <v>2653</v>
      </c>
      <c r="G398" s="6" t="s">
        <v>37</v>
      </c>
      <c r="H398" s="6" t="s">
        <v>867</v>
      </c>
      <c r="I398" s="8" t="s">
        <v>54</v>
      </c>
      <c r="J398" s="9">
        <v>1</v>
      </c>
      <c r="K398" s="9">
        <v>272</v>
      </c>
      <c r="L398" s="9">
        <v>2024</v>
      </c>
      <c r="M398" s="8" t="s">
        <v>2654</v>
      </c>
      <c r="N398" s="8" t="s">
        <v>56</v>
      </c>
      <c r="O398" s="8" t="s">
        <v>57</v>
      </c>
      <c r="P398" s="6" t="s">
        <v>42</v>
      </c>
      <c r="Q398" s="8" t="s">
        <v>43</v>
      </c>
      <c r="R398" s="10" t="s">
        <v>2248</v>
      </c>
      <c r="S398" s="11"/>
      <c r="T398" s="6"/>
      <c r="U398" s="27" t="str">
        <f>HYPERLINK("https://media.infra-m.ru/2048/2048910/cover/2048910.jpg", "Обложка")</f>
        <v>Обложка</v>
      </c>
      <c r="V398" s="27" t="str">
        <f>HYPERLINK("https://znanium.com/catalog/product/1072293", "Ознакомиться")</f>
        <v>Ознакомиться</v>
      </c>
      <c r="W398" s="8" t="s">
        <v>2655</v>
      </c>
      <c r="X398" s="6"/>
      <c r="Y398" s="6"/>
      <c r="Z398" s="6"/>
      <c r="AA398" s="6" t="s">
        <v>308</v>
      </c>
    </row>
    <row r="399" spans="1:27" s="4" customFormat="1" ht="51.95" customHeight="1">
      <c r="A399" s="5">
        <v>0</v>
      </c>
      <c r="B399" s="6" t="s">
        <v>2656</v>
      </c>
      <c r="C399" s="13">
        <v>1550</v>
      </c>
      <c r="D399" s="8" t="s">
        <v>2657</v>
      </c>
      <c r="E399" s="8" t="s">
        <v>2658</v>
      </c>
      <c r="F399" s="8" t="s">
        <v>2659</v>
      </c>
      <c r="G399" s="6" t="s">
        <v>37</v>
      </c>
      <c r="H399" s="6" t="s">
        <v>53</v>
      </c>
      <c r="I399" s="8" t="s">
        <v>54</v>
      </c>
      <c r="J399" s="9">
        <v>1</v>
      </c>
      <c r="K399" s="9">
        <v>333</v>
      </c>
      <c r="L399" s="9">
        <v>2024</v>
      </c>
      <c r="M399" s="8" t="s">
        <v>2660</v>
      </c>
      <c r="N399" s="8" t="s">
        <v>56</v>
      </c>
      <c r="O399" s="8" t="s">
        <v>57</v>
      </c>
      <c r="P399" s="6" t="s">
        <v>42</v>
      </c>
      <c r="Q399" s="8" t="s">
        <v>58</v>
      </c>
      <c r="R399" s="10" t="s">
        <v>2626</v>
      </c>
      <c r="S399" s="11" t="s">
        <v>2627</v>
      </c>
      <c r="T399" s="6"/>
      <c r="U399" s="27" t="str">
        <f>HYPERLINK("https://media.infra-m.ru/2015/2015304/cover/2015304.jpg", "Обложка")</f>
        <v>Обложка</v>
      </c>
      <c r="V399" s="27" t="str">
        <f>HYPERLINK("https://znanium.com/catalog/product/2015304", "Ознакомиться")</f>
        <v>Ознакомиться</v>
      </c>
      <c r="W399" s="8" t="s">
        <v>287</v>
      </c>
      <c r="X399" s="6" t="s">
        <v>903</v>
      </c>
      <c r="Y399" s="6"/>
      <c r="Z399" s="6"/>
      <c r="AA399" s="6" t="s">
        <v>2661</v>
      </c>
    </row>
    <row r="400" spans="1:27" s="4" customFormat="1" ht="51.95" customHeight="1">
      <c r="A400" s="5">
        <v>0</v>
      </c>
      <c r="B400" s="6" t="s">
        <v>2662</v>
      </c>
      <c r="C400" s="13">
        <v>1154.9000000000001</v>
      </c>
      <c r="D400" s="8" t="s">
        <v>2663</v>
      </c>
      <c r="E400" s="8" t="s">
        <v>2664</v>
      </c>
      <c r="F400" s="8" t="s">
        <v>2665</v>
      </c>
      <c r="G400" s="6" t="s">
        <v>52</v>
      </c>
      <c r="H400" s="6" t="s">
        <v>239</v>
      </c>
      <c r="I400" s="8" t="s">
        <v>377</v>
      </c>
      <c r="J400" s="9">
        <v>1</v>
      </c>
      <c r="K400" s="9">
        <v>256</v>
      </c>
      <c r="L400" s="9">
        <v>2023</v>
      </c>
      <c r="M400" s="8" t="s">
        <v>2666</v>
      </c>
      <c r="N400" s="8" t="s">
        <v>56</v>
      </c>
      <c r="O400" s="8" t="s">
        <v>57</v>
      </c>
      <c r="P400" s="6" t="s">
        <v>42</v>
      </c>
      <c r="Q400" s="8" t="s">
        <v>43</v>
      </c>
      <c r="R400" s="10" t="s">
        <v>2667</v>
      </c>
      <c r="S400" s="11"/>
      <c r="T400" s="6"/>
      <c r="U400" s="27" t="str">
        <f>HYPERLINK("https://media.infra-m.ru/1913/1913018/cover/1913018.jpg", "Обложка")</f>
        <v>Обложка</v>
      </c>
      <c r="V400" s="27" t="str">
        <f>HYPERLINK("https://znanium.com/catalog/product/1010061", "Ознакомиться")</f>
        <v>Ознакомиться</v>
      </c>
      <c r="W400" s="8" t="s">
        <v>2668</v>
      </c>
      <c r="X400" s="6"/>
      <c r="Y400" s="6"/>
      <c r="Z400" s="6"/>
      <c r="AA400" s="6" t="s">
        <v>84</v>
      </c>
    </row>
    <row r="401" spans="1:27" s="4" customFormat="1" ht="51.95" customHeight="1">
      <c r="A401" s="5">
        <v>0</v>
      </c>
      <c r="B401" s="6" t="s">
        <v>2669</v>
      </c>
      <c r="C401" s="13">
        <v>2724</v>
      </c>
      <c r="D401" s="8" t="s">
        <v>2670</v>
      </c>
      <c r="E401" s="8" t="s">
        <v>2638</v>
      </c>
      <c r="F401" s="8" t="s">
        <v>2671</v>
      </c>
      <c r="G401" s="6" t="s">
        <v>37</v>
      </c>
      <c r="H401" s="6" t="s">
        <v>53</v>
      </c>
      <c r="I401" s="8" t="s">
        <v>54</v>
      </c>
      <c r="J401" s="9">
        <v>1</v>
      </c>
      <c r="K401" s="9">
        <v>592</v>
      </c>
      <c r="L401" s="9">
        <v>2023</v>
      </c>
      <c r="M401" s="8" t="s">
        <v>2672</v>
      </c>
      <c r="N401" s="8" t="s">
        <v>56</v>
      </c>
      <c r="O401" s="8" t="s">
        <v>57</v>
      </c>
      <c r="P401" s="6" t="s">
        <v>69</v>
      </c>
      <c r="Q401" s="8" t="s">
        <v>58</v>
      </c>
      <c r="R401" s="10" t="s">
        <v>2673</v>
      </c>
      <c r="S401" s="11" t="s">
        <v>2674</v>
      </c>
      <c r="T401" s="6"/>
      <c r="U401" s="27" t="str">
        <f>HYPERLINK("https://media.infra-m.ru/2081/2081728/cover/2081728.jpg", "Обложка")</f>
        <v>Обложка</v>
      </c>
      <c r="V401" s="27" t="str">
        <f>HYPERLINK("https://znanium.com/catalog/product/2063426", "Ознакомиться")</f>
        <v>Ознакомиться</v>
      </c>
      <c r="W401" s="8" t="s">
        <v>91</v>
      </c>
      <c r="X401" s="6"/>
      <c r="Y401" s="6"/>
      <c r="Z401" s="6"/>
      <c r="AA401" s="6" t="s">
        <v>226</v>
      </c>
    </row>
    <row r="402" spans="1:27" s="4" customFormat="1" ht="51.95" customHeight="1">
      <c r="A402" s="5">
        <v>0</v>
      </c>
      <c r="B402" s="6" t="s">
        <v>2675</v>
      </c>
      <c r="C402" s="13">
        <v>1724.9</v>
      </c>
      <c r="D402" s="8" t="s">
        <v>2676</v>
      </c>
      <c r="E402" s="8" t="s">
        <v>2677</v>
      </c>
      <c r="F402" s="8" t="s">
        <v>2678</v>
      </c>
      <c r="G402" s="6" t="s">
        <v>37</v>
      </c>
      <c r="H402" s="6" t="s">
        <v>867</v>
      </c>
      <c r="I402" s="8" t="s">
        <v>54</v>
      </c>
      <c r="J402" s="9">
        <v>1</v>
      </c>
      <c r="K402" s="9">
        <v>383</v>
      </c>
      <c r="L402" s="9">
        <v>2023</v>
      </c>
      <c r="M402" s="8" t="s">
        <v>2679</v>
      </c>
      <c r="N402" s="8" t="s">
        <v>56</v>
      </c>
      <c r="O402" s="8" t="s">
        <v>57</v>
      </c>
      <c r="P402" s="6" t="s">
        <v>69</v>
      </c>
      <c r="Q402" s="8" t="s">
        <v>43</v>
      </c>
      <c r="R402" s="10" t="s">
        <v>2680</v>
      </c>
      <c r="S402" s="11" t="s">
        <v>2681</v>
      </c>
      <c r="T402" s="6"/>
      <c r="U402" s="27" t="str">
        <f>HYPERLINK("https://media.infra-m.ru/1987/1987576/cover/1987576.jpg", "Обложка")</f>
        <v>Обложка</v>
      </c>
      <c r="V402" s="27" t="str">
        <f>HYPERLINK("https://znanium.com/catalog/product/1710998", "Ознакомиться")</f>
        <v>Ознакомиться</v>
      </c>
      <c r="W402" s="8" t="s">
        <v>72</v>
      </c>
      <c r="X402" s="6"/>
      <c r="Y402" s="6"/>
      <c r="Z402" s="6"/>
      <c r="AA402" s="6" t="s">
        <v>1820</v>
      </c>
    </row>
    <row r="403" spans="1:27" s="4" customFormat="1" ht="51.95" customHeight="1">
      <c r="A403" s="5">
        <v>0</v>
      </c>
      <c r="B403" s="6" t="s">
        <v>2682</v>
      </c>
      <c r="C403" s="13">
        <v>1174</v>
      </c>
      <c r="D403" s="8" t="s">
        <v>2683</v>
      </c>
      <c r="E403" s="8" t="s">
        <v>2638</v>
      </c>
      <c r="F403" s="8" t="s">
        <v>2477</v>
      </c>
      <c r="G403" s="6" t="s">
        <v>37</v>
      </c>
      <c r="H403" s="6" t="s">
        <v>104</v>
      </c>
      <c r="I403" s="8" t="s">
        <v>377</v>
      </c>
      <c r="J403" s="9">
        <v>1</v>
      </c>
      <c r="K403" s="9">
        <v>256</v>
      </c>
      <c r="L403" s="9">
        <v>2024</v>
      </c>
      <c r="M403" s="8" t="s">
        <v>2684</v>
      </c>
      <c r="N403" s="8" t="s">
        <v>56</v>
      </c>
      <c r="O403" s="8" t="s">
        <v>57</v>
      </c>
      <c r="P403" s="6" t="s">
        <v>69</v>
      </c>
      <c r="Q403" s="8" t="s">
        <v>43</v>
      </c>
      <c r="R403" s="10" t="s">
        <v>2685</v>
      </c>
      <c r="S403" s="11" t="s">
        <v>2686</v>
      </c>
      <c r="T403" s="6"/>
      <c r="U403" s="27" t="str">
        <f>HYPERLINK("https://media.infra-m.ru/2087/2087271/cover/2087271.jpg", "Обложка")</f>
        <v>Обложка</v>
      </c>
      <c r="V403" s="27" t="str">
        <f>HYPERLINK("https://znanium.com/catalog/product/1070335", "Ознакомиться")</f>
        <v>Ознакомиться</v>
      </c>
      <c r="W403" s="8" t="s">
        <v>2466</v>
      </c>
      <c r="X403" s="6"/>
      <c r="Y403" s="6"/>
      <c r="Z403" s="6"/>
      <c r="AA403" s="6" t="s">
        <v>47</v>
      </c>
    </row>
    <row r="404" spans="1:27" s="4" customFormat="1" ht="51.95" customHeight="1">
      <c r="A404" s="5">
        <v>0</v>
      </c>
      <c r="B404" s="6" t="s">
        <v>2687</v>
      </c>
      <c r="C404" s="13">
        <v>1564.9</v>
      </c>
      <c r="D404" s="8" t="s">
        <v>2688</v>
      </c>
      <c r="E404" s="8" t="s">
        <v>2658</v>
      </c>
      <c r="F404" s="8" t="s">
        <v>97</v>
      </c>
      <c r="G404" s="6" t="s">
        <v>37</v>
      </c>
      <c r="H404" s="6" t="s">
        <v>53</v>
      </c>
      <c r="I404" s="8" t="s">
        <v>54</v>
      </c>
      <c r="J404" s="9">
        <v>1</v>
      </c>
      <c r="K404" s="9">
        <v>460</v>
      </c>
      <c r="L404" s="9">
        <v>2020</v>
      </c>
      <c r="M404" s="8" t="s">
        <v>2689</v>
      </c>
      <c r="N404" s="8" t="s">
        <v>56</v>
      </c>
      <c r="O404" s="8" t="s">
        <v>57</v>
      </c>
      <c r="P404" s="6" t="s">
        <v>69</v>
      </c>
      <c r="Q404" s="8" t="s">
        <v>43</v>
      </c>
      <c r="R404" s="10" t="s">
        <v>2690</v>
      </c>
      <c r="S404" s="11" t="s">
        <v>2691</v>
      </c>
      <c r="T404" s="6"/>
      <c r="U404" s="27" t="str">
        <f>HYPERLINK("https://media.infra-m.ru/1062/1062392/cover/1062392.jpg", "Обложка")</f>
        <v>Обложка</v>
      </c>
      <c r="V404" s="27" t="str">
        <f>HYPERLINK("https://znanium.com/catalog/product/2079293", "Ознакомиться")</f>
        <v>Ознакомиться</v>
      </c>
      <c r="W404" s="8" t="s">
        <v>287</v>
      </c>
      <c r="X404" s="6"/>
      <c r="Y404" s="6"/>
      <c r="Z404" s="6"/>
      <c r="AA404" s="6" t="s">
        <v>1813</v>
      </c>
    </row>
    <row r="405" spans="1:27" s="4" customFormat="1" ht="51.95" customHeight="1">
      <c r="A405" s="5">
        <v>0</v>
      </c>
      <c r="B405" s="6" t="s">
        <v>2692</v>
      </c>
      <c r="C405" s="13">
        <v>1094.9000000000001</v>
      </c>
      <c r="D405" s="8" t="s">
        <v>2693</v>
      </c>
      <c r="E405" s="8" t="s">
        <v>2694</v>
      </c>
      <c r="F405" s="8" t="s">
        <v>97</v>
      </c>
      <c r="G405" s="6" t="s">
        <v>37</v>
      </c>
      <c r="H405" s="6" t="s">
        <v>53</v>
      </c>
      <c r="I405" s="8" t="s">
        <v>54</v>
      </c>
      <c r="J405" s="9">
        <v>1</v>
      </c>
      <c r="K405" s="9">
        <v>463</v>
      </c>
      <c r="L405" s="9">
        <v>2018</v>
      </c>
      <c r="M405" s="8" t="s">
        <v>2689</v>
      </c>
      <c r="N405" s="8" t="s">
        <v>56</v>
      </c>
      <c r="O405" s="8" t="s">
        <v>57</v>
      </c>
      <c r="P405" s="6" t="s">
        <v>69</v>
      </c>
      <c r="Q405" s="8" t="s">
        <v>43</v>
      </c>
      <c r="R405" s="10" t="s">
        <v>2690</v>
      </c>
      <c r="S405" s="11" t="s">
        <v>2691</v>
      </c>
      <c r="T405" s="6"/>
      <c r="U405" s="27" t="str">
        <f>HYPERLINK("https://media.infra-m.ru/0927/0927444/cover/927444.jpg", "Обложка")</f>
        <v>Обложка</v>
      </c>
      <c r="V405" s="27" t="str">
        <f>HYPERLINK("https://znanium.com/catalog/product/2079293", "Ознакомиться")</f>
        <v>Ознакомиться</v>
      </c>
      <c r="W405" s="8" t="s">
        <v>287</v>
      </c>
      <c r="X405" s="6"/>
      <c r="Y405" s="6"/>
      <c r="Z405" s="6"/>
      <c r="AA405" s="6" t="s">
        <v>2695</v>
      </c>
    </row>
    <row r="406" spans="1:27" s="4" customFormat="1" ht="51.95" customHeight="1">
      <c r="A406" s="5">
        <v>0</v>
      </c>
      <c r="B406" s="6" t="s">
        <v>2696</v>
      </c>
      <c r="C406" s="13">
        <v>2030</v>
      </c>
      <c r="D406" s="8" t="s">
        <v>2697</v>
      </c>
      <c r="E406" s="8" t="s">
        <v>2698</v>
      </c>
      <c r="F406" s="8" t="s">
        <v>97</v>
      </c>
      <c r="G406" s="6" t="s">
        <v>37</v>
      </c>
      <c r="H406" s="6" t="s">
        <v>53</v>
      </c>
      <c r="I406" s="8" t="s">
        <v>54</v>
      </c>
      <c r="J406" s="9">
        <v>1</v>
      </c>
      <c r="K406" s="9">
        <v>433</v>
      </c>
      <c r="L406" s="9">
        <v>2024</v>
      </c>
      <c r="M406" s="8" t="s">
        <v>2699</v>
      </c>
      <c r="N406" s="8" t="s">
        <v>56</v>
      </c>
      <c r="O406" s="8" t="s">
        <v>57</v>
      </c>
      <c r="P406" s="6" t="s">
        <v>69</v>
      </c>
      <c r="Q406" s="8" t="s">
        <v>58</v>
      </c>
      <c r="R406" s="10" t="s">
        <v>2690</v>
      </c>
      <c r="S406" s="11" t="s">
        <v>2691</v>
      </c>
      <c r="T406" s="6"/>
      <c r="U406" s="27" t="str">
        <f>HYPERLINK("https://media.infra-m.ru/2079/2079293/cover/2079293.jpg", "Обложка")</f>
        <v>Обложка</v>
      </c>
      <c r="V406" s="27" t="str">
        <f>HYPERLINK("https://znanium.com/catalog/product/2079293", "Ознакомиться")</f>
        <v>Ознакомиться</v>
      </c>
      <c r="W406" s="8" t="s">
        <v>287</v>
      </c>
      <c r="X406" s="6"/>
      <c r="Y406" s="6"/>
      <c r="Z406" s="6"/>
      <c r="AA406" s="6" t="s">
        <v>2700</v>
      </c>
    </row>
    <row r="407" spans="1:27" s="4" customFormat="1" ht="51.95" customHeight="1">
      <c r="A407" s="5">
        <v>0</v>
      </c>
      <c r="B407" s="6" t="s">
        <v>2701</v>
      </c>
      <c r="C407" s="7">
        <v>74.900000000000006</v>
      </c>
      <c r="D407" s="8" t="s">
        <v>2702</v>
      </c>
      <c r="E407" s="8" t="s">
        <v>2638</v>
      </c>
      <c r="F407" s="8"/>
      <c r="G407" s="6" t="s">
        <v>52</v>
      </c>
      <c r="H407" s="6" t="s">
        <v>98</v>
      </c>
      <c r="I407" s="8" t="s">
        <v>297</v>
      </c>
      <c r="J407" s="9">
        <v>1</v>
      </c>
      <c r="K407" s="9">
        <v>122</v>
      </c>
      <c r="L407" s="9">
        <v>2017</v>
      </c>
      <c r="M407" s="8" t="s">
        <v>2703</v>
      </c>
      <c r="N407" s="8" t="s">
        <v>56</v>
      </c>
      <c r="O407" s="8" t="s">
        <v>57</v>
      </c>
      <c r="P407" s="6" t="s">
        <v>299</v>
      </c>
      <c r="Q407" s="8" t="s">
        <v>43</v>
      </c>
      <c r="R407" s="10" t="s">
        <v>2641</v>
      </c>
      <c r="S407" s="11"/>
      <c r="T407" s="6"/>
      <c r="U407" s="12"/>
      <c r="V407" s="27" t="str">
        <f>HYPERLINK("https://znanium.com/catalog/product/614850", "Ознакомиться")</f>
        <v>Ознакомиться</v>
      </c>
      <c r="W407" s="8"/>
      <c r="X407" s="6"/>
      <c r="Y407" s="6"/>
      <c r="Z407" s="6"/>
      <c r="AA407" s="6" t="s">
        <v>135</v>
      </c>
    </row>
    <row r="408" spans="1:27" s="4" customFormat="1" ht="51.95" customHeight="1">
      <c r="A408" s="5">
        <v>0</v>
      </c>
      <c r="B408" s="6" t="s">
        <v>2704</v>
      </c>
      <c r="C408" s="13">
        <v>1770</v>
      </c>
      <c r="D408" s="8" t="s">
        <v>2705</v>
      </c>
      <c r="E408" s="8" t="s">
        <v>2706</v>
      </c>
      <c r="F408" s="8" t="s">
        <v>2707</v>
      </c>
      <c r="G408" s="6" t="s">
        <v>67</v>
      </c>
      <c r="H408" s="6" t="s">
        <v>53</v>
      </c>
      <c r="I408" s="8" t="s">
        <v>130</v>
      </c>
      <c r="J408" s="9">
        <v>1</v>
      </c>
      <c r="K408" s="9">
        <v>384</v>
      </c>
      <c r="L408" s="9">
        <v>2023</v>
      </c>
      <c r="M408" s="8" t="s">
        <v>2708</v>
      </c>
      <c r="N408" s="8" t="s">
        <v>56</v>
      </c>
      <c r="O408" s="8" t="s">
        <v>57</v>
      </c>
      <c r="P408" s="6" t="s">
        <v>69</v>
      </c>
      <c r="Q408" s="8" t="s">
        <v>785</v>
      </c>
      <c r="R408" s="10" t="s">
        <v>2709</v>
      </c>
      <c r="S408" s="11" t="s">
        <v>2710</v>
      </c>
      <c r="T408" s="6"/>
      <c r="U408" s="27" t="str">
        <f>HYPERLINK("https://media.infra-m.ru/1893/1893794/cover/1893794.jpg", "Обложка")</f>
        <v>Обложка</v>
      </c>
      <c r="V408" s="27" t="str">
        <f>HYPERLINK("https://znanium.com/catalog/product/1893794", "Ознакомиться")</f>
        <v>Ознакомиться</v>
      </c>
      <c r="W408" s="8" t="s">
        <v>72</v>
      </c>
      <c r="X408" s="6"/>
      <c r="Y408" s="6"/>
      <c r="Z408" s="6"/>
      <c r="AA408" s="6" t="s">
        <v>592</v>
      </c>
    </row>
    <row r="409" spans="1:27" s="4" customFormat="1" ht="51.95" customHeight="1">
      <c r="A409" s="5">
        <v>0</v>
      </c>
      <c r="B409" s="6" t="s">
        <v>2711</v>
      </c>
      <c r="C409" s="7">
        <v>890</v>
      </c>
      <c r="D409" s="8" t="s">
        <v>2712</v>
      </c>
      <c r="E409" s="8" t="s">
        <v>2713</v>
      </c>
      <c r="F409" s="8" t="s">
        <v>2714</v>
      </c>
      <c r="G409" s="6" t="s">
        <v>67</v>
      </c>
      <c r="H409" s="6" t="s">
        <v>53</v>
      </c>
      <c r="I409" s="8" t="s">
        <v>148</v>
      </c>
      <c r="J409" s="9">
        <v>1</v>
      </c>
      <c r="K409" s="9">
        <v>196</v>
      </c>
      <c r="L409" s="9">
        <v>2023</v>
      </c>
      <c r="M409" s="8" t="s">
        <v>2715</v>
      </c>
      <c r="N409" s="8" t="s">
        <v>56</v>
      </c>
      <c r="O409" s="8" t="s">
        <v>57</v>
      </c>
      <c r="P409" s="6" t="s">
        <v>42</v>
      </c>
      <c r="Q409" s="8" t="s">
        <v>150</v>
      </c>
      <c r="R409" s="10" t="s">
        <v>2716</v>
      </c>
      <c r="S409" s="11" t="s">
        <v>2717</v>
      </c>
      <c r="T409" s="6"/>
      <c r="U409" s="27" t="str">
        <f>HYPERLINK("https://media.infra-m.ru/1905/1905135/cover/1905135.jpg", "Обложка")</f>
        <v>Обложка</v>
      </c>
      <c r="V409" s="27" t="str">
        <f>HYPERLINK("https://znanium.com/catalog/product/1905135", "Ознакомиться")</f>
        <v>Ознакомиться</v>
      </c>
      <c r="W409" s="8" t="s">
        <v>72</v>
      </c>
      <c r="X409" s="6"/>
      <c r="Y409" s="6"/>
      <c r="Z409" s="6"/>
      <c r="AA409" s="6" t="s">
        <v>253</v>
      </c>
    </row>
    <row r="410" spans="1:27" s="4" customFormat="1" ht="51.95" customHeight="1">
      <c r="A410" s="5">
        <v>0</v>
      </c>
      <c r="B410" s="6" t="s">
        <v>2718</v>
      </c>
      <c r="C410" s="7">
        <v>650</v>
      </c>
      <c r="D410" s="8" t="s">
        <v>2719</v>
      </c>
      <c r="E410" s="8" t="s">
        <v>2720</v>
      </c>
      <c r="F410" s="8" t="s">
        <v>2721</v>
      </c>
      <c r="G410" s="6" t="s">
        <v>52</v>
      </c>
      <c r="H410" s="6" t="s">
        <v>53</v>
      </c>
      <c r="I410" s="8" t="s">
        <v>652</v>
      </c>
      <c r="J410" s="9">
        <v>1</v>
      </c>
      <c r="K410" s="9">
        <v>136</v>
      </c>
      <c r="L410" s="9">
        <v>2023</v>
      </c>
      <c r="M410" s="8" t="s">
        <v>2722</v>
      </c>
      <c r="N410" s="8" t="s">
        <v>56</v>
      </c>
      <c r="O410" s="8" t="s">
        <v>57</v>
      </c>
      <c r="P410" s="6" t="s">
        <v>42</v>
      </c>
      <c r="Q410" s="8" t="s">
        <v>654</v>
      </c>
      <c r="R410" s="10" t="s">
        <v>2723</v>
      </c>
      <c r="S410" s="11" t="s">
        <v>1995</v>
      </c>
      <c r="T410" s="6"/>
      <c r="U410" s="27" t="str">
        <f>HYPERLINK("https://media.infra-m.ru/1911/1911729/cover/1911729.jpg", "Обложка")</f>
        <v>Обложка</v>
      </c>
      <c r="V410" s="27" t="str">
        <f>HYPERLINK("https://znanium.com/catalog/product/1911729", "Ознакомиться")</f>
        <v>Ознакомиться</v>
      </c>
      <c r="W410" s="8" t="s">
        <v>2724</v>
      </c>
      <c r="X410" s="6"/>
      <c r="Y410" s="6"/>
      <c r="Z410" s="6" t="s">
        <v>657</v>
      </c>
      <c r="AA410" s="6" t="s">
        <v>510</v>
      </c>
    </row>
    <row r="411" spans="1:27" s="4" customFormat="1" ht="51.95" customHeight="1">
      <c r="A411" s="5">
        <v>0</v>
      </c>
      <c r="B411" s="6" t="s">
        <v>2725</v>
      </c>
      <c r="C411" s="7">
        <v>614.9</v>
      </c>
      <c r="D411" s="8" t="s">
        <v>2726</v>
      </c>
      <c r="E411" s="8" t="s">
        <v>2720</v>
      </c>
      <c r="F411" s="8" t="s">
        <v>2721</v>
      </c>
      <c r="G411" s="6" t="s">
        <v>52</v>
      </c>
      <c r="H411" s="6" t="s">
        <v>53</v>
      </c>
      <c r="I411" s="8" t="s">
        <v>165</v>
      </c>
      <c r="J411" s="9">
        <v>1</v>
      </c>
      <c r="K411" s="9">
        <v>136</v>
      </c>
      <c r="L411" s="9">
        <v>2023</v>
      </c>
      <c r="M411" s="8" t="s">
        <v>2727</v>
      </c>
      <c r="N411" s="8" t="s">
        <v>56</v>
      </c>
      <c r="O411" s="8" t="s">
        <v>57</v>
      </c>
      <c r="P411" s="6" t="s">
        <v>42</v>
      </c>
      <c r="Q411" s="8" t="s">
        <v>43</v>
      </c>
      <c r="R411" s="10" t="s">
        <v>2728</v>
      </c>
      <c r="S411" s="11" t="s">
        <v>2729</v>
      </c>
      <c r="T411" s="6"/>
      <c r="U411" s="27" t="str">
        <f>HYPERLINK("https://media.infra-m.ru/2002/2002655/cover/2002655.jpg", "Обложка")</f>
        <v>Обложка</v>
      </c>
      <c r="V411" s="27" t="str">
        <f>HYPERLINK("https://znanium.com/catalog/product/1179524", "Ознакомиться")</f>
        <v>Ознакомиться</v>
      </c>
      <c r="W411" s="8" t="s">
        <v>2724</v>
      </c>
      <c r="X411" s="6"/>
      <c r="Y411" s="6"/>
      <c r="Z411" s="6"/>
      <c r="AA411" s="6" t="s">
        <v>288</v>
      </c>
    </row>
    <row r="412" spans="1:27" s="4" customFormat="1" ht="44.1" customHeight="1">
      <c r="A412" s="5">
        <v>0</v>
      </c>
      <c r="B412" s="6" t="s">
        <v>2730</v>
      </c>
      <c r="C412" s="7">
        <v>720</v>
      </c>
      <c r="D412" s="8" t="s">
        <v>2731</v>
      </c>
      <c r="E412" s="8" t="s">
        <v>2732</v>
      </c>
      <c r="F412" s="8" t="s">
        <v>2733</v>
      </c>
      <c r="G412" s="6" t="s">
        <v>52</v>
      </c>
      <c r="H412" s="6" t="s">
        <v>939</v>
      </c>
      <c r="I412" s="8" t="s">
        <v>165</v>
      </c>
      <c r="J412" s="9">
        <v>1</v>
      </c>
      <c r="K412" s="9">
        <v>160</v>
      </c>
      <c r="L412" s="9">
        <v>2022</v>
      </c>
      <c r="M412" s="8" t="s">
        <v>2734</v>
      </c>
      <c r="N412" s="8" t="s">
        <v>56</v>
      </c>
      <c r="O412" s="8" t="s">
        <v>57</v>
      </c>
      <c r="P412" s="6" t="s">
        <v>42</v>
      </c>
      <c r="Q412" s="8" t="s">
        <v>43</v>
      </c>
      <c r="R412" s="10" t="s">
        <v>2735</v>
      </c>
      <c r="S412" s="11"/>
      <c r="T412" s="6"/>
      <c r="U412" s="27" t="str">
        <f>HYPERLINK("https://media.infra-m.ru/1947/1947400/cover/1947400.jpg", "Обложка")</f>
        <v>Обложка</v>
      </c>
      <c r="V412" s="27" t="str">
        <f>HYPERLINK("https://znanium.com/catalog/product/1042458", "Ознакомиться")</f>
        <v>Ознакомиться</v>
      </c>
      <c r="W412" s="8" t="s">
        <v>2736</v>
      </c>
      <c r="X412" s="6"/>
      <c r="Y412" s="6"/>
      <c r="Z412" s="6"/>
      <c r="AA412" s="6" t="s">
        <v>62</v>
      </c>
    </row>
    <row r="413" spans="1:27" s="4" customFormat="1" ht="51.95" customHeight="1">
      <c r="A413" s="5">
        <v>0</v>
      </c>
      <c r="B413" s="6" t="s">
        <v>2737</v>
      </c>
      <c r="C413" s="13">
        <v>1484.9</v>
      </c>
      <c r="D413" s="8" t="s">
        <v>2738</v>
      </c>
      <c r="E413" s="8" t="s">
        <v>2739</v>
      </c>
      <c r="F413" s="8" t="s">
        <v>605</v>
      </c>
      <c r="G413" s="6" t="s">
        <v>67</v>
      </c>
      <c r="H413" s="6" t="s">
        <v>53</v>
      </c>
      <c r="I413" s="8" t="s">
        <v>165</v>
      </c>
      <c r="J413" s="9">
        <v>1</v>
      </c>
      <c r="K413" s="9">
        <v>391</v>
      </c>
      <c r="L413" s="9">
        <v>2022</v>
      </c>
      <c r="M413" s="8" t="s">
        <v>2740</v>
      </c>
      <c r="N413" s="8" t="s">
        <v>56</v>
      </c>
      <c r="O413" s="8" t="s">
        <v>57</v>
      </c>
      <c r="P413" s="6" t="s">
        <v>69</v>
      </c>
      <c r="Q413" s="8" t="s">
        <v>43</v>
      </c>
      <c r="R413" s="10" t="s">
        <v>2741</v>
      </c>
      <c r="S413" s="11" t="s">
        <v>2742</v>
      </c>
      <c r="T413" s="6" t="s">
        <v>277</v>
      </c>
      <c r="U413" s="27" t="str">
        <f>HYPERLINK("https://media.infra-m.ru/1836/1836720/cover/1836720.jpg", "Обложка")</f>
        <v>Обложка</v>
      </c>
      <c r="V413" s="27" t="str">
        <f>HYPERLINK("https://znanium.com/catalog/product/1836720", "Ознакомиться")</f>
        <v>Ознакомиться</v>
      </c>
      <c r="W413" s="8" t="s">
        <v>216</v>
      </c>
      <c r="X413" s="6"/>
      <c r="Y413" s="6"/>
      <c r="Z413" s="6"/>
      <c r="AA413" s="6" t="s">
        <v>795</v>
      </c>
    </row>
    <row r="414" spans="1:27" s="4" customFormat="1" ht="51.95" customHeight="1">
      <c r="A414" s="5">
        <v>0</v>
      </c>
      <c r="B414" s="6" t="s">
        <v>2743</v>
      </c>
      <c r="C414" s="13">
        <v>1900</v>
      </c>
      <c r="D414" s="8" t="s">
        <v>2744</v>
      </c>
      <c r="E414" s="8" t="s">
        <v>2745</v>
      </c>
      <c r="F414" s="8" t="s">
        <v>605</v>
      </c>
      <c r="G414" s="6" t="s">
        <v>67</v>
      </c>
      <c r="H414" s="6" t="s">
        <v>53</v>
      </c>
      <c r="I414" s="8" t="s">
        <v>652</v>
      </c>
      <c r="J414" s="9">
        <v>1</v>
      </c>
      <c r="K414" s="9">
        <v>421</v>
      </c>
      <c r="L414" s="9">
        <v>2023</v>
      </c>
      <c r="M414" s="8" t="s">
        <v>2746</v>
      </c>
      <c r="N414" s="8" t="s">
        <v>56</v>
      </c>
      <c r="O414" s="8" t="s">
        <v>57</v>
      </c>
      <c r="P414" s="6" t="s">
        <v>42</v>
      </c>
      <c r="Q414" s="8" t="s">
        <v>654</v>
      </c>
      <c r="R414" s="10" t="s">
        <v>2747</v>
      </c>
      <c r="S414" s="11" t="s">
        <v>2748</v>
      </c>
      <c r="T414" s="6"/>
      <c r="U414" s="27" t="str">
        <f>HYPERLINK("https://media.infra-m.ru/1960/1960109/cover/1960109.jpg", "Обложка")</f>
        <v>Обложка</v>
      </c>
      <c r="V414" s="27" t="str">
        <f>HYPERLINK("https://znanium.com/catalog/product/1960109", "Ознакомиться")</f>
        <v>Ознакомиться</v>
      </c>
      <c r="W414" s="8" t="s">
        <v>216</v>
      </c>
      <c r="X414" s="6"/>
      <c r="Y414" s="6"/>
      <c r="Z414" s="6" t="s">
        <v>657</v>
      </c>
      <c r="AA414" s="6" t="s">
        <v>510</v>
      </c>
    </row>
    <row r="415" spans="1:27" s="4" customFormat="1" ht="51.95" customHeight="1">
      <c r="A415" s="5">
        <v>0</v>
      </c>
      <c r="B415" s="6" t="s">
        <v>2749</v>
      </c>
      <c r="C415" s="13">
        <v>1934</v>
      </c>
      <c r="D415" s="8" t="s">
        <v>2750</v>
      </c>
      <c r="E415" s="8" t="s">
        <v>2745</v>
      </c>
      <c r="F415" s="8" t="s">
        <v>605</v>
      </c>
      <c r="G415" s="6" t="s">
        <v>37</v>
      </c>
      <c r="H415" s="6" t="s">
        <v>53</v>
      </c>
      <c r="I415" s="8" t="s">
        <v>165</v>
      </c>
      <c r="J415" s="9">
        <v>1</v>
      </c>
      <c r="K415" s="9">
        <v>421</v>
      </c>
      <c r="L415" s="9">
        <v>2024</v>
      </c>
      <c r="M415" s="8" t="s">
        <v>2751</v>
      </c>
      <c r="N415" s="8" t="s">
        <v>56</v>
      </c>
      <c r="O415" s="8" t="s">
        <v>57</v>
      </c>
      <c r="P415" s="6" t="s">
        <v>42</v>
      </c>
      <c r="Q415" s="8" t="s">
        <v>43</v>
      </c>
      <c r="R415" s="10" t="s">
        <v>2752</v>
      </c>
      <c r="S415" s="11" t="s">
        <v>2753</v>
      </c>
      <c r="T415" s="6"/>
      <c r="U415" s="27" t="str">
        <f>HYPERLINK("https://media.infra-m.ru/2083/2083305/cover/2083305.jpg", "Обложка")</f>
        <v>Обложка</v>
      </c>
      <c r="V415" s="27" t="str">
        <f>HYPERLINK("https://znanium.com/catalog/product/1007941", "Ознакомиться")</f>
        <v>Ознакомиться</v>
      </c>
      <c r="W415" s="8" t="s">
        <v>216</v>
      </c>
      <c r="X415" s="6"/>
      <c r="Y415" s="6"/>
      <c r="Z415" s="6"/>
      <c r="AA415" s="6" t="s">
        <v>208</v>
      </c>
    </row>
    <row r="416" spans="1:27" s="4" customFormat="1" ht="51.95" customHeight="1">
      <c r="A416" s="5">
        <v>0</v>
      </c>
      <c r="B416" s="6" t="s">
        <v>2754</v>
      </c>
      <c r="C416" s="7">
        <v>454.9</v>
      </c>
      <c r="D416" s="8" t="s">
        <v>2755</v>
      </c>
      <c r="E416" s="8" t="s">
        <v>2756</v>
      </c>
      <c r="F416" s="8" t="s">
        <v>2757</v>
      </c>
      <c r="G416" s="6" t="s">
        <v>37</v>
      </c>
      <c r="H416" s="6" t="s">
        <v>53</v>
      </c>
      <c r="I416" s="8" t="s">
        <v>54</v>
      </c>
      <c r="J416" s="9">
        <v>10</v>
      </c>
      <c r="K416" s="9">
        <v>208</v>
      </c>
      <c r="L416" s="9">
        <v>2017</v>
      </c>
      <c r="M416" s="8" t="s">
        <v>2758</v>
      </c>
      <c r="N416" s="8" t="s">
        <v>56</v>
      </c>
      <c r="O416" s="8" t="s">
        <v>57</v>
      </c>
      <c r="P416" s="6" t="s">
        <v>42</v>
      </c>
      <c r="Q416" s="8" t="s">
        <v>43</v>
      </c>
      <c r="R416" s="10" t="s">
        <v>2759</v>
      </c>
      <c r="S416" s="11" t="s">
        <v>2760</v>
      </c>
      <c r="T416" s="6"/>
      <c r="U416" s="27" t="str">
        <f>HYPERLINK("https://media.infra-m.ru/0558/0558469/cover/558469.jpg", "Обложка")</f>
        <v>Обложка</v>
      </c>
      <c r="V416" s="27" t="str">
        <f>HYPERLINK("https://znanium.com/catalog/product/945559", "Ознакомиться")</f>
        <v>Ознакомиться</v>
      </c>
      <c r="W416" s="8" t="s">
        <v>2761</v>
      </c>
      <c r="X416" s="6"/>
      <c r="Y416" s="6"/>
      <c r="Z416" s="6"/>
      <c r="AA416" s="6" t="s">
        <v>62</v>
      </c>
    </row>
    <row r="417" spans="1:27" s="4" customFormat="1" ht="51.95" customHeight="1">
      <c r="A417" s="5">
        <v>0</v>
      </c>
      <c r="B417" s="6" t="s">
        <v>2762</v>
      </c>
      <c r="C417" s="7">
        <v>814</v>
      </c>
      <c r="D417" s="8" t="s">
        <v>2763</v>
      </c>
      <c r="E417" s="8" t="s">
        <v>2764</v>
      </c>
      <c r="F417" s="8" t="s">
        <v>2765</v>
      </c>
      <c r="G417" s="6" t="s">
        <v>67</v>
      </c>
      <c r="H417" s="6" t="s">
        <v>265</v>
      </c>
      <c r="I417" s="8" t="s">
        <v>652</v>
      </c>
      <c r="J417" s="9">
        <v>1</v>
      </c>
      <c r="K417" s="9">
        <v>176</v>
      </c>
      <c r="L417" s="9">
        <v>2024</v>
      </c>
      <c r="M417" s="8" t="s">
        <v>2766</v>
      </c>
      <c r="N417" s="8" t="s">
        <v>56</v>
      </c>
      <c r="O417" s="8" t="s">
        <v>57</v>
      </c>
      <c r="P417" s="6" t="s">
        <v>42</v>
      </c>
      <c r="Q417" s="8" t="s">
        <v>654</v>
      </c>
      <c r="R417" s="10" t="s">
        <v>2767</v>
      </c>
      <c r="S417" s="11" t="s">
        <v>1946</v>
      </c>
      <c r="T417" s="6"/>
      <c r="U417" s="27" t="str">
        <f>HYPERLINK("https://media.infra-m.ru/2056/2056623/cover/2056623.jpg", "Обложка")</f>
        <v>Обложка</v>
      </c>
      <c r="V417" s="27" t="str">
        <f>HYPERLINK("https://znanium.com/catalog/product/1679674", "Ознакомиться")</f>
        <v>Ознакомиться</v>
      </c>
      <c r="W417" s="8"/>
      <c r="X417" s="6"/>
      <c r="Y417" s="6"/>
      <c r="Z417" s="6"/>
      <c r="AA417" s="6" t="s">
        <v>135</v>
      </c>
    </row>
    <row r="418" spans="1:27" s="4" customFormat="1" ht="42" customHeight="1">
      <c r="A418" s="5">
        <v>0</v>
      </c>
      <c r="B418" s="6" t="s">
        <v>2768</v>
      </c>
      <c r="C418" s="7">
        <v>514</v>
      </c>
      <c r="D418" s="8" t="s">
        <v>2769</v>
      </c>
      <c r="E418" s="8" t="s">
        <v>2770</v>
      </c>
      <c r="F418" s="8" t="s">
        <v>2771</v>
      </c>
      <c r="G418" s="6" t="s">
        <v>52</v>
      </c>
      <c r="H418" s="6" t="s">
        <v>53</v>
      </c>
      <c r="I418" s="8" t="s">
        <v>165</v>
      </c>
      <c r="J418" s="9">
        <v>1</v>
      </c>
      <c r="K418" s="9">
        <v>112</v>
      </c>
      <c r="L418" s="9">
        <v>2024</v>
      </c>
      <c r="M418" s="8" t="s">
        <v>2772</v>
      </c>
      <c r="N418" s="8" t="s">
        <v>56</v>
      </c>
      <c r="O418" s="8" t="s">
        <v>57</v>
      </c>
      <c r="P418" s="6" t="s">
        <v>42</v>
      </c>
      <c r="Q418" s="8" t="s">
        <v>43</v>
      </c>
      <c r="R418" s="10" t="s">
        <v>2773</v>
      </c>
      <c r="S418" s="11"/>
      <c r="T418" s="6"/>
      <c r="U418" s="27" t="str">
        <f>HYPERLINK("https://media.infra-m.ru/2087/2087304/cover/2087304.jpg", "Обложка")</f>
        <v>Обложка</v>
      </c>
      <c r="V418" s="27" t="str">
        <f>HYPERLINK("https://znanium.com/catalog/product/1840958", "Ознакомиться")</f>
        <v>Ознакомиться</v>
      </c>
      <c r="W418" s="8" t="s">
        <v>2774</v>
      </c>
      <c r="X418" s="6"/>
      <c r="Y418" s="6"/>
      <c r="Z418" s="6"/>
      <c r="AA418" s="6" t="s">
        <v>84</v>
      </c>
    </row>
    <row r="419" spans="1:27" s="4" customFormat="1" ht="51.95" customHeight="1">
      <c r="A419" s="5">
        <v>0</v>
      </c>
      <c r="B419" s="6" t="s">
        <v>2775</v>
      </c>
      <c r="C419" s="13">
        <v>1220</v>
      </c>
      <c r="D419" s="8" t="s">
        <v>2776</v>
      </c>
      <c r="E419" s="8" t="s">
        <v>2777</v>
      </c>
      <c r="F419" s="8" t="s">
        <v>2778</v>
      </c>
      <c r="G419" s="6" t="s">
        <v>67</v>
      </c>
      <c r="H419" s="6" t="s">
        <v>53</v>
      </c>
      <c r="I419" s="8" t="s">
        <v>165</v>
      </c>
      <c r="J419" s="9">
        <v>1</v>
      </c>
      <c r="K419" s="9">
        <v>270</v>
      </c>
      <c r="L419" s="9">
        <v>2023</v>
      </c>
      <c r="M419" s="8" t="s">
        <v>2779</v>
      </c>
      <c r="N419" s="8" t="s">
        <v>56</v>
      </c>
      <c r="O419" s="8" t="s">
        <v>57</v>
      </c>
      <c r="P419" s="6" t="s">
        <v>69</v>
      </c>
      <c r="Q419" s="8" t="s">
        <v>43</v>
      </c>
      <c r="R419" s="10" t="s">
        <v>2780</v>
      </c>
      <c r="S419" s="11" t="s">
        <v>2781</v>
      </c>
      <c r="T419" s="6"/>
      <c r="U419" s="27" t="str">
        <f>HYPERLINK("https://media.infra-m.ru/1913/1913855/cover/1913855.jpg", "Обложка")</f>
        <v>Обложка</v>
      </c>
      <c r="V419" s="27" t="str">
        <f>HYPERLINK("https://znanium.com/catalog/product/1984951", "Ознакомиться")</f>
        <v>Ознакомиться</v>
      </c>
      <c r="W419" s="8" t="s">
        <v>928</v>
      </c>
      <c r="X419" s="6"/>
      <c r="Y419" s="6"/>
      <c r="Z419" s="6"/>
      <c r="AA419" s="6" t="s">
        <v>253</v>
      </c>
    </row>
    <row r="420" spans="1:27" s="4" customFormat="1" ht="51.95" customHeight="1">
      <c r="A420" s="5">
        <v>0</v>
      </c>
      <c r="B420" s="6" t="s">
        <v>2782</v>
      </c>
      <c r="C420" s="13">
        <v>2330</v>
      </c>
      <c r="D420" s="8" t="s">
        <v>2783</v>
      </c>
      <c r="E420" s="8" t="s">
        <v>2784</v>
      </c>
      <c r="F420" s="8" t="s">
        <v>2785</v>
      </c>
      <c r="G420" s="6" t="s">
        <v>37</v>
      </c>
      <c r="H420" s="6" t="s">
        <v>53</v>
      </c>
      <c r="I420" s="8" t="s">
        <v>652</v>
      </c>
      <c r="J420" s="9">
        <v>1</v>
      </c>
      <c r="K420" s="9">
        <v>506</v>
      </c>
      <c r="L420" s="9">
        <v>2024</v>
      </c>
      <c r="M420" s="8" t="s">
        <v>2786</v>
      </c>
      <c r="N420" s="8" t="s">
        <v>56</v>
      </c>
      <c r="O420" s="8" t="s">
        <v>57</v>
      </c>
      <c r="P420" s="6" t="s">
        <v>69</v>
      </c>
      <c r="Q420" s="8" t="s">
        <v>654</v>
      </c>
      <c r="R420" s="10" t="s">
        <v>2787</v>
      </c>
      <c r="S420" s="11" t="s">
        <v>2788</v>
      </c>
      <c r="T420" s="6"/>
      <c r="U420" s="27" t="str">
        <f>HYPERLINK("https://media.infra-m.ru/2084/2084138/cover/2084138.jpg", "Обложка")</f>
        <v>Обложка</v>
      </c>
      <c r="V420" s="27" t="str">
        <f>HYPERLINK("https://znanium.com/catalog/product/2084138", "Ознакомиться")</f>
        <v>Ознакомиться</v>
      </c>
      <c r="W420" s="8" t="s">
        <v>982</v>
      </c>
      <c r="X420" s="6"/>
      <c r="Y420" s="6" t="s">
        <v>30</v>
      </c>
      <c r="Z420" s="6" t="s">
        <v>657</v>
      </c>
      <c r="AA420" s="6" t="s">
        <v>1180</v>
      </c>
    </row>
    <row r="421" spans="1:27" s="4" customFormat="1" ht="42" customHeight="1">
      <c r="A421" s="5">
        <v>0</v>
      </c>
      <c r="B421" s="6" t="s">
        <v>2789</v>
      </c>
      <c r="C421" s="13">
        <v>2330</v>
      </c>
      <c r="D421" s="8" t="s">
        <v>2790</v>
      </c>
      <c r="E421" s="8" t="s">
        <v>2784</v>
      </c>
      <c r="F421" s="8" t="s">
        <v>2785</v>
      </c>
      <c r="G421" s="6" t="s">
        <v>37</v>
      </c>
      <c r="H421" s="6" t="s">
        <v>53</v>
      </c>
      <c r="I421" s="8" t="s">
        <v>54</v>
      </c>
      <c r="J421" s="9">
        <v>1</v>
      </c>
      <c r="K421" s="9">
        <v>506</v>
      </c>
      <c r="L421" s="9">
        <v>2024</v>
      </c>
      <c r="M421" s="8" t="s">
        <v>2791</v>
      </c>
      <c r="N421" s="8" t="s">
        <v>56</v>
      </c>
      <c r="O421" s="8" t="s">
        <v>57</v>
      </c>
      <c r="P421" s="6" t="s">
        <v>69</v>
      </c>
      <c r="Q421" s="8" t="s">
        <v>43</v>
      </c>
      <c r="R421" s="10" t="s">
        <v>275</v>
      </c>
      <c r="S421" s="11"/>
      <c r="T421" s="6"/>
      <c r="U421" s="27" t="str">
        <f>HYPERLINK("https://media.infra-m.ru/2079/2079647/cover/2079647.jpg", "Обложка")</f>
        <v>Обложка</v>
      </c>
      <c r="V421" s="27" t="str">
        <f>HYPERLINK("https://znanium.com/catalog/product/2079647", "Ознакомиться")</f>
        <v>Ознакомиться</v>
      </c>
      <c r="W421" s="8" t="s">
        <v>982</v>
      </c>
      <c r="X421" s="6"/>
      <c r="Y421" s="6"/>
      <c r="Z421" s="6"/>
      <c r="AA421" s="6" t="s">
        <v>2473</v>
      </c>
    </row>
    <row r="422" spans="1:27" s="4" customFormat="1" ht="51.95" customHeight="1">
      <c r="A422" s="5">
        <v>0</v>
      </c>
      <c r="B422" s="6" t="s">
        <v>2792</v>
      </c>
      <c r="C422" s="13">
        <v>1484.9</v>
      </c>
      <c r="D422" s="8" t="s">
        <v>2793</v>
      </c>
      <c r="E422" s="8" t="s">
        <v>2794</v>
      </c>
      <c r="F422" s="8" t="s">
        <v>2795</v>
      </c>
      <c r="G422" s="6" t="s">
        <v>37</v>
      </c>
      <c r="H422" s="6" t="s">
        <v>53</v>
      </c>
      <c r="I422" s="8" t="s">
        <v>165</v>
      </c>
      <c r="J422" s="9">
        <v>1</v>
      </c>
      <c r="K422" s="9">
        <v>331</v>
      </c>
      <c r="L422" s="9">
        <v>2023</v>
      </c>
      <c r="M422" s="8" t="s">
        <v>2796</v>
      </c>
      <c r="N422" s="8" t="s">
        <v>56</v>
      </c>
      <c r="O422" s="8" t="s">
        <v>57</v>
      </c>
      <c r="P422" s="6" t="s">
        <v>42</v>
      </c>
      <c r="Q422" s="8" t="s">
        <v>43</v>
      </c>
      <c r="R422" s="10" t="s">
        <v>2797</v>
      </c>
      <c r="S422" s="11" t="s">
        <v>2798</v>
      </c>
      <c r="T422" s="6"/>
      <c r="U422" s="27" t="str">
        <f>HYPERLINK("https://media.infra-m.ru/1894/1894617/cover/1894617.jpg", "Обложка")</f>
        <v>Обложка</v>
      </c>
      <c r="V422" s="27" t="str">
        <f>HYPERLINK("https://znanium.com/catalog/product/1361799", "Ознакомиться")</f>
        <v>Ознакомиться</v>
      </c>
      <c r="W422" s="8" t="s">
        <v>72</v>
      </c>
      <c r="X422" s="6"/>
      <c r="Y422" s="6"/>
      <c r="Z422" s="6"/>
      <c r="AA422" s="6" t="s">
        <v>548</v>
      </c>
    </row>
    <row r="423" spans="1:27" s="4" customFormat="1" ht="51.95" customHeight="1">
      <c r="A423" s="5">
        <v>0</v>
      </c>
      <c r="B423" s="6" t="s">
        <v>2799</v>
      </c>
      <c r="C423" s="13">
        <v>1624</v>
      </c>
      <c r="D423" s="8" t="s">
        <v>2800</v>
      </c>
      <c r="E423" s="8" t="s">
        <v>2794</v>
      </c>
      <c r="F423" s="8" t="s">
        <v>2801</v>
      </c>
      <c r="G423" s="6" t="s">
        <v>67</v>
      </c>
      <c r="H423" s="6" t="s">
        <v>53</v>
      </c>
      <c r="I423" s="8" t="s">
        <v>165</v>
      </c>
      <c r="J423" s="9">
        <v>1</v>
      </c>
      <c r="K423" s="9">
        <v>352</v>
      </c>
      <c r="L423" s="9">
        <v>2024</v>
      </c>
      <c r="M423" s="8" t="s">
        <v>2802</v>
      </c>
      <c r="N423" s="8" t="s">
        <v>56</v>
      </c>
      <c r="O423" s="8" t="s">
        <v>57</v>
      </c>
      <c r="P423" s="6" t="s">
        <v>69</v>
      </c>
      <c r="Q423" s="8" t="s">
        <v>43</v>
      </c>
      <c r="R423" s="10" t="s">
        <v>2803</v>
      </c>
      <c r="S423" s="11" t="s">
        <v>2804</v>
      </c>
      <c r="T423" s="6"/>
      <c r="U423" s="27" t="str">
        <f>HYPERLINK("https://media.infra-m.ru/2056/2056637/cover/2056637.jpg", "Обложка")</f>
        <v>Обложка</v>
      </c>
      <c r="V423" s="27" t="str">
        <f>HYPERLINK("https://znanium.com/catalog/product/1242060", "Ознакомиться")</f>
        <v>Ознакомиться</v>
      </c>
      <c r="W423" s="8" t="s">
        <v>134</v>
      </c>
      <c r="X423" s="6"/>
      <c r="Y423" s="6" t="s">
        <v>30</v>
      </c>
      <c r="Z423" s="6"/>
      <c r="AA423" s="6" t="s">
        <v>1306</v>
      </c>
    </row>
    <row r="424" spans="1:27" s="4" customFormat="1" ht="51.95" customHeight="1">
      <c r="A424" s="5">
        <v>0</v>
      </c>
      <c r="B424" s="6" t="s">
        <v>2805</v>
      </c>
      <c r="C424" s="7">
        <v>650</v>
      </c>
      <c r="D424" s="8" t="s">
        <v>2806</v>
      </c>
      <c r="E424" s="8" t="s">
        <v>2807</v>
      </c>
      <c r="F424" s="8" t="s">
        <v>2808</v>
      </c>
      <c r="G424" s="6" t="s">
        <v>52</v>
      </c>
      <c r="H424" s="6" t="s">
        <v>38</v>
      </c>
      <c r="I424" s="8"/>
      <c r="J424" s="9">
        <v>1</v>
      </c>
      <c r="K424" s="9">
        <v>160</v>
      </c>
      <c r="L424" s="9">
        <v>2022</v>
      </c>
      <c r="M424" s="8" t="s">
        <v>2809</v>
      </c>
      <c r="N424" s="8" t="s">
        <v>56</v>
      </c>
      <c r="O424" s="8" t="s">
        <v>57</v>
      </c>
      <c r="P424" s="6" t="s">
        <v>42</v>
      </c>
      <c r="Q424" s="8" t="s">
        <v>43</v>
      </c>
      <c r="R424" s="10" t="s">
        <v>2810</v>
      </c>
      <c r="S424" s="11" t="s">
        <v>2811</v>
      </c>
      <c r="T424" s="6"/>
      <c r="U424" s="27" t="str">
        <f>HYPERLINK("https://media.infra-m.ru/1947/1947411/cover/1947411.jpg", "Обложка")</f>
        <v>Обложка</v>
      </c>
      <c r="V424" s="27" t="str">
        <f>HYPERLINK("https://znanium.com/catalog/product/2124357", "Ознакомиться")</f>
        <v>Ознакомиться</v>
      </c>
      <c r="W424" s="8" t="s">
        <v>2812</v>
      </c>
      <c r="X424" s="6"/>
      <c r="Y424" s="6"/>
      <c r="Z424" s="6"/>
      <c r="AA424" s="6" t="s">
        <v>84</v>
      </c>
    </row>
    <row r="425" spans="1:27" s="4" customFormat="1" ht="51.95" customHeight="1">
      <c r="A425" s="5">
        <v>0</v>
      </c>
      <c r="B425" s="6" t="s">
        <v>2813</v>
      </c>
      <c r="C425" s="13">
        <v>1700</v>
      </c>
      <c r="D425" s="8" t="s">
        <v>2814</v>
      </c>
      <c r="E425" s="8" t="s">
        <v>2815</v>
      </c>
      <c r="F425" s="8" t="s">
        <v>2816</v>
      </c>
      <c r="G425" s="6" t="s">
        <v>67</v>
      </c>
      <c r="H425" s="6" t="s">
        <v>53</v>
      </c>
      <c r="I425" s="8" t="s">
        <v>54</v>
      </c>
      <c r="J425" s="9">
        <v>1</v>
      </c>
      <c r="K425" s="9">
        <v>377</v>
      </c>
      <c r="L425" s="9">
        <v>2023</v>
      </c>
      <c r="M425" s="8" t="s">
        <v>2817</v>
      </c>
      <c r="N425" s="8" t="s">
        <v>56</v>
      </c>
      <c r="O425" s="8" t="s">
        <v>57</v>
      </c>
      <c r="P425" s="6" t="s">
        <v>69</v>
      </c>
      <c r="Q425" s="8" t="s">
        <v>58</v>
      </c>
      <c r="R425" s="10" t="s">
        <v>2818</v>
      </c>
      <c r="S425" s="11" t="s">
        <v>2819</v>
      </c>
      <c r="T425" s="6"/>
      <c r="U425" s="27" t="str">
        <f>HYPERLINK("https://media.infra-m.ru/1941/1941752/cover/1941752.jpg", "Обложка")</f>
        <v>Обложка</v>
      </c>
      <c r="V425" s="27" t="str">
        <f>HYPERLINK("https://znanium.com/catalog/product/1941752", "Ознакомиться")</f>
        <v>Ознакомиться</v>
      </c>
      <c r="W425" s="8" t="s">
        <v>2327</v>
      </c>
      <c r="X425" s="6"/>
      <c r="Y425" s="6" t="s">
        <v>30</v>
      </c>
      <c r="Z425" s="6"/>
      <c r="AA425" s="6" t="s">
        <v>301</v>
      </c>
    </row>
    <row r="426" spans="1:27" s="4" customFormat="1" ht="51.95" customHeight="1">
      <c r="A426" s="5">
        <v>0</v>
      </c>
      <c r="B426" s="6" t="s">
        <v>2820</v>
      </c>
      <c r="C426" s="13">
        <v>1994.9</v>
      </c>
      <c r="D426" s="8" t="s">
        <v>2821</v>
      </c>
      <c r="E426" s="8" t="s">
        <v>2822</v>
      </c>
      <c r="F426" s="8" t="s">
        <v>2823</v>
      </c>
      <c r="G426" s="6" t="s">
        <v>37</v>
      </c>
      <c r="H426" s="6" t="s">
        <v>53</v>
      </c>
      <c r="I426" s="8" t="s">
        <v>165</v>
      </c>
      <c r="J426" s="9">
        <v>1</v>
      </c>
      <c r="K426" s="9">
        <v>544</v>
      </c>
      <c r="L426" s="9">
        <v>2023</v>
      </c>
      <c r="M426" s="8" t="s">
        <v>2824</v>
      </c>
      <c r="N426" s="8" t="s">
        <v>56</v>
      </c>
      <c r="O426" s="8" t="s">
        <v>57</v>
      </c>
      <c r="P426" s="6" t="s">
        <v>69</v>
      </c>
      <c r="Q426" s="8" t="s">
        <v>43</v>
      </c>
      <c r="R426" s="10" t="s">
        <v>2546</v>
      </c>
      <c r="S426" s="11" t="s">
        <v>2825</v>
      </c>
      <c r="T426" s="6"/>
      <c r="U426" s="27" t="str">
        <f>HYPERLINK("https://media.infra-m.ru/1901/1901311/cover/1901311.jpg", "Обложка")</f>
        <v>Обложка</v>
      </c>
      <c r="V426" s="27" t="str">
        <f>HYPERLINK("https://znanium.com/catalog/product/1043130", "Ознакомиться")</f>
        <v>Ознакомиться</v>
      </c>
      <c r="W426" s="8" t="s">
        <v>948</v>
      </c>
      <c r="X426" s="6"/>
      <c r="Y426" s="6"/>
      <c r="Z426" s="6"/>
      <c r="AA426" s="6" t="s">
        <v>2826</v>
      </c>
    </row>
    <row r="427" spans="1:27" s="4" customFormat="1" ht="51.95" customHeight="1">
      <c r="A427" s="5">
        <v>0</v>
      </c>
      <c r="B427" s="6" t="s">
        <v>2827</v>
      </c>
      <c r="C427" s="13">
        <v>1274.9000000000001</v>
      </c>
      <c r="D427" s="8" t="s">
        <v>2828</v>
      </c>
      <c r="E427" s="8" t="s">
        <v>2829</v>
      </c>
      <c r="F427" s="8" t="s">
        <v>2830</v>
      </c>
      <c r="G427" s="6" t="s">
        <v>37</v>
      </c>
      <c r="H427" s="6" t="s">
        <v>98</v>
      </c>
      <c r="I427" s="8" t="s">
        <v>165</v>
      </c>
      <c r="J427" s="9">
        <v>1</v>
      </c>
      <c r="K427" s="9">
        <v>283</v>
      </c>
      <c r="L427" s="9">
        <v>2023</v>
      </c>
      <c r="M427" s="8" t="s">
        <v>2831</v>
      </c>
      <c r="N427" s="8" t="s">
        <v>56</v>
      </c>
      <c r="O427" s="8" t="s">
        <v>57</v>
      </c>
      <c r="P427" s="6" t="s">
        <v>42</v>
      </c>
      <c r="Q427" s="8" t="s">
        <v>43</v>
      </c>
      <c r="R427" s="10" t="s">
        <v>2832</v>
      </c>
      <c r="S427" s="11" t="s">
        <v>2833</v>
      </c>
      <c r="T427" s="6"/>
      <c r="U427" s="27" t="str">
        <f>HYPERLINK("https://media.infra-m.ru/1904/1904570/cover/1904570.jpg", "Обложка")</f>
        <v>Обложка</v>
      </c>
      <c r="V427" s="12"/>
      <c r="W427" s="8" t="s">
        <v>2834</v>
      </c>
      <c r="X427" s="6"/>
      <c r="Y427" s="6"/>
      <c r="Z427" s="6"/>
      <c r="AA427" s="6" t="s">
        <v>47</v>
      </c>
    </row>
    <row r="428" spans="1:27" s="4" customFormat="1" ht="42" customHeight="1">
      <c r="A428" s="5">
        <v>0</v>
      </c>
      <c r="B428" s="6" t="s">
        <v>2835</v>
      </c>
      <c r="C428" s="13">
        <v>1314</v>
      </c>
      <c r="D428" s="8" t="s">
        <v>2836</v>
      </c>
      <c r="E428" s="8" t="s">
        <v>2829</v>
      </c>
      <c r="F428" s="8" t="s">
        <v>2830</v>
      </c>
      <c r="G428" s="6" t="s">
        <v>37</v>
      </c>
      <c r="H428" s="6" t="s">
        <v>98</v>
      </c>
      <c r="I428" s="8" t="s">
        <v>1067</v>
      </c>
      <c r="J428" s="9">
        <v>1</v>
      </c>
      <c r="K428" s="9">
        <v>283</v>
      </c>
      <c r="L428" s="9">
        <v>2023</v>
      </c>
      <c r="M428" s="8" t="s">
        <v>2837</v>
      </c>
      <c r="N428" s="8" t="s">
        <v>56</v>
      </c>
      <c r="O428" s="8" t="s">
        <v>57</v>
      </c>
      <c r="P428" s="6" t="s">
        <v>42</v>
      </c>
      <c r="Q428" s="8" t="s">
        <v>654</v>
      </c>
      <c r="R428" s="10" t="s">
        <v>2838</v>
      </c>
      <c r="S428" s="11"/>
      <c r="T428" s="6"/>
      <c r="U428" s="27" t="str">
        <f>HYPERLINK("https://media.infra-m.ru/2045/2045982/cover/2045982.jpg", "Обложка")</f>
        <v>Обложка</v>
      </c>
      <c r="V428" s="27" t="str">
        <f>HYPERLINK("https://znanium.com/catalog/product/1043939", "Ознакомиться")</f>
        <v>Ознакомиться</v>
      </c>
      <c r="W428" s="8" t="s">
        <v>2834</v>
      </c>
      <c r="X428" s="6"/>
      <c r="Y428" s="6"/>
      <c r="Z428" s="6" t="s">
        <v>657</v>
      </c>
      <c r="AA428" s="6" t="s">
        <v>601</v>
      </c>
    </row>
    <row r="429" spans="1:27" s="4" customFormat="1" ht="51.95" customHeight="1">
      <c r="A429" s="5">
        <v>0</v>
      </c>
      <c r="B429" s="6" t="s">
        <v>2839</v>
      </c>
      <c r="C429" s="13">
        <v>1904.9</v>
      </c>
      <c r="D429" s="8" t="s">
        <v>2840</v>
      </c>
      <c r="E429" s="8" t="s">
        <v>2841</v>
      </c>
      <c r="F429" s="8" t="s">
        <v>2842</v>
      </c>
      <c r="G429" s="6" t="s">
        <v>67</v>
      </c>
      <c r="H429" s="6" t="s">
        <v>53</v>
      </c>
      <c r="I429" s="8" t="s">
        <v>165</v>
      </c>
      <c r="J429" s="9">
        <v>1</v>
      </c>
      <c r="K429" s="9">
        <v>423</v>
      </c>
      <c r="L429" s="9">
        <v>2023</v>
      </c>
      <c r="M429" s="8" t="s">
        <v>2843</v>
      </c>
      <c r="N429" s="8" t="s">
        <v>56</v>
      </c>
      <c r="O429" s="8" t="s">
        <v>57</v>
      </c>
      <c r="P429" s="6" t="s">
        <v>69</v>
      </c>
      <c r="Q429" s="8" t="s">
        <v>43</v>
      </c>
      <c r="R429" s="10" t="s">
        <v>2844</v>
      </c>
      <c r="S429" s="11" t="s">
        <v>2845</v>
      </c>
      <c r="T429" s="6"/>
      <c r="U429" s="27" t="str">
        <f>HYPERLINK("https://media.infra-m.ru/2043/2043254/cover/2043254.jpg", "Обложка")</f>
        <v>Обложка</v>
      </c>
      <c r="V429" s="27" t="str">
        <f>HYPERLINK("https://znanium.com/catalog/product/1903341", "Ознакомиться")</f>
        <v>Ознакомиться</v>
      </c>
      <c r="W429" s="8" t="s">
        <v>928</v>
      </c>
      <c r="X429" s="6"/>
      <c r="Y429" s="6"/>
      <c r="Z429" s="6"/>
      <c r="AA429" s="6" t="s">
        <v>1214</v>
      </c>
    </row>
    <row r="430" spans="1:27" s="4" customFormat="1" ht="51.95" customHeight="1">
      <c r="A430" s="5">
        <v>0</v>
      </c>
      <c r="B430" s="6" t="s">
        <v>2846</v>
      </c>
      <c r="C430" s="13">
        <v>1230</v>
      </c>
      <c r="D430" s="8" t="s">
        <v>2847</v>
      </c>
      <c r="E430" s="8" t="s">
        <v>2848</v>
      </c>
      <c r="F430" s="8" t="s">
        <v>2849</v>
      </c>
      <c r="G430" s="6" t="s">
        <v>67</v>
      </c>
      <c r="H430" s="6" t="s">
        <v>53</v>
      </c>
      <c r="I430" s="8" t="s">
        <v>652</v>
      </c>
      <c r="J430" s="9">
        <v>1</v>
      </c>
      <c r="K430" s="9">
        <v>292</v>
      </c>
      <c r="L430" s="9">
        <v>2022</v>
      </c>
      <c r="M430" s="8" t="s">
        <v>2850</v>
      </c>
      <c r="N430" s="8" t="s">
        <v>56</v>
      </c>
      <c r="O430" s="8" t="s">
        <v>57</v>
      </c>
      <c r="P430" s="6" t="s">
        <v>69</v>
      </c>
      <c r="Q430" s="8" t="s">
        <v>654</v>
      </c>
      <c r="R430" s="10" t="s">
        <v>2851</v>
      </c>
      <c r="S430" s="11" t="s">
        <v>2852</v>
      </c>
      <c r="T430" s="6" t="s">
        <v>277</v>
      </c>
      <c r="U430" s="27" t="str">
        <f>HYPERLINK("https://media.infra-m.ru/1877/1877378/cover/1877378.jpg", "Обложка")</f>
        <v>Обложка</v>
      </c>
      <c r="V430" s="27" t="str">
        <f>HYPERLINK("https://znanium.com/catalog/product/1877378", "Ознакомиться")</f>
        <v>Ознакомиться</v>
      </c>
      <c r="W430" s="8" t="s">
        <v>928</v>
      </c>
      <c r="X430" s="6"/>
      <c r="Y430" s="6"/>
      <c r="Z430" s="6" t="s">
        <v>657</v>
      </c>
      <c r="AA430" s="6" t="s">
        <v>510</v>
      </c>
    </row>
    <row r="431" spans="1:27" s="4" customFormat="1" ht="51.95" customHeight="1">
      <c r="A431" s="5">
        <v>0</v>
      </c>
      <c r="B431" s="6" t="s">
        <v>2853</v>
      </c>
      <c r="C431" s="7">
        <v>930</v>
      </c>
      <c r="D431" s="8" t="s">
        <v>2854</v>
      </c>
      <c r="E431" s="8" t="s">
        <v>2848</v>
      </c>
      <c r="F431" s="8" t="s">
        <v>2849</v>
      </c>
      <c r="G431" s="6" t="s">
        <v>67</v>
      </c>
      <c r="H431" s="6" t="s">
        <v>53</v>
      </c>
      <c r="I431" s="8" t="s">
        <v>165</v>
      </c>
      <c r="J431" s="9">
        <v>1</v>
      </c>
      <c r="K431" s="9">
        <v>292</v>
      </c>
      <c r="L431" s="9">
        <v>2019</v>
      </c>
      <c r="M431" s="8" t="s">
        <v>2855</v>
      </c>
      <c r="N431" s="8" t="s">
        <v>56</v>
      </c>
      <c r="O431" s="8" t="s">
        <v>57</v>
      </c>
      <c r="P431" s="6" t="s">
        <v>69</v>
      </c>
      <c r="Q431" s="8" t="s">
        <v>43</v>
      </c>
      <c r="R431" s="10" t="s">
        <v>2844</v>
      </c>
      <c r="S431" s="11" t="s">
        <v>2856</v>
      </c>
      <c r="T431" s="6" t="s">
        <v>277</v>
      </c>
      <c r="U431" s="27" t="str">
        <f>HYPERLINK("https://media.infra-m.ru/0989/0989360/cover/989360.jpg", "Обложка")</f>
        <v>Обложка</v>
      </c>
      <c r="V431" s="27" t="str">
        <f>HYPERLINK("https://znanium.com/catalog/product/1903341", "Ознакомиться")</f>
        <v>Ознакомиться</v>
      </c>
      <c r="W431" s="8" t="s">
        <v>928</v>
      </c>
      <c r="X431" s="6"/>
      <c r="Y431" s="6"/>
      <c r="Z431" s="6"/>
      <c r="AA431" s="6" t="s">
        <v>47</v>
      </c>
    </row>
    <row r="432" spans="1:27" s="4" customFormat="1" ht="51.95" customHeight="1">
      <c r="A432" s="5">
        <v>0</v>
      </c>
      <c r="B432" s="6" t="s">
        <v>2857</v>
      </c>
      <c r="C432" s="13">
        <v>1324</v>
      </c>
      <c r="D432" s="8" t="s">
        <v>2858</v>
      </c>
      <c r="E432" s="8" t="s">
        <v>2859</v>
      </c>
      <c r="F432" s="8" t="s">
        <v>2860</v>
      </c>
      <c r="G432" s="6" t="s">
        <v>37</v>
      </c>
      <c r="H432" s="6" t="s">
        <v>53</v>
      </c>
      <c r="I432" s="8" t="s">
        <v>114</v>
      </c>
      <c r="J432" s="9">
        <v>1</v>
      </c>
      <c r="K432" s="9">
        <v>288</v>
      </c>
      <c r="L432" s="9">
        <v>2024</v>
      </c>
      <c r="M432" s="8" t="s">
        <v>2861</v>
      </c>
      <c r="N432" s="8" t="s">
        <v>56</v>
      </c>
      <c r="O432" s="8" t="s">
        <v>57</v>
      </c>
      <c r="P432" s="6" t="s">
        <v>116</v>
      </c>
      <c r="Q432" s="8" t="s">
        <v>81</v>
      </c>
      <c r="R432" s="10" t="s">
        <v>2862</v>
      </c>
      <c r="S432" s="11"/>
      <c r="T432" s="6"/>
      <c r="U432" s="27" t="str">
        <f>HYPERLINK("https://media.infra-m.ru/2091/2091916/cover/2091916.jpg", "Обложка")</f>
        <v>Обложка</v>
      </c>
      <c r="V432" s="27" t="str">
        <f>HYPERLINK("https://znanium.com/catalog/product/925844", "Ознакомиться")</f>
        <v>Ознакомиться</v>
      </c>
      <c r="W432" s="8" t="s">
        <v>72</v>
      </c>
      <c r="X432" s="6"/>
      <c r="Y432" s="6"/>
      <c r="Z432" s="6"/>
      <c r="AA432" s="6" t="s">
        <v>208</v>
      </c>
    </row>
    <row r="433" spans="1:27" s="4" customFormat="1" ht="51.95" customHeight="1">
      <c r="A433" s="5">
        <v>0</v>
      </c>
      <c r="B433" s="6" t="s">
        <v>2863</v>
      </c>
      <c r="C433" s="7">
        <v>644</v>
      </c>
      <c r="D433" s="8" t="s">
        <v>2864</v>
      </c>
      <c r="E433" s="8" t="s">
        <v>2865</v>
      </c>
      <c r="F433" s="8" t="s">
        <v>2866</v>
      </c>
      <c r="G433" s="6" t="s">
        <v>52</v>
      </c>
      <c r="H433" s="6" t="s">
        <v>53</v>
      </c>
      <c r="I433" s="8" t="s">
        <v>165</v>
      </c>
      <c r="J433" s="9">
        <v>1</v>
      </c>
      <c r="K433" s="9">
        <v>142</v>
      </c>
      <c r="L433" s="9">
        <v>2023</v>
      </c>
      <c r="M433" s="8" t="s">
        <v>2867</v>
      </c>
      <c r="N433" s="8" t="s">
        <v>56</v>
      </c>
      <c r="O433" s="8" t="s">
        <v>57</v>
      </c>
      <c r="P433" s="6" t="s">
        <v>42</v>
      </c>
      <c r="Q433" s="8" t="s">
        <v>43</v>
      </c>
      <c r="R433" s="10" t="s">
        <v>2868</v>
      </c>
      <c r="S433" s="11" t="s">
        <v>2869</v>
      </c>
      <c r="T433" s="6"/>
      <c r="U433" s="27" t="str">
        <f>HYPERLINK("https://media.infra-m.ru/2006/2006055/cover/2006055.jpg", "Обложка")</f>
        <v>Обложка</v>
      </c>
      <c r="V433" s="27" t="str">
        <f>HYPERLINK("https://znanium.com/catalog/product/1247121", "Ознакомиться")</f>
        <v>Ознакомиться</v>
      </c>
      <c r="W433" s="8" t="s">
        <v>2870</v>
      </c>
      <c r="X433" s="6"/>
      <c r="Y433" s="6"/>
      <c r="Z433" s="6"/>
      <c r="AA433" s="6" t="s">
        <v>73</v>
      </c>
    </row>
    <row r="434" spans="1:27" s="4" customFormat="1" ht="51.95" customHeight="1">
      <c r="A434" s="5">
        <v>0</v>
      </c>
      <c r="B434" s="6" t="s">
        <v>2871</v>
      </c>
      <c r="C434" s="7">
        <v>730</v>
      </c>
      <c r="D434" s="8" t="s">
        <v>2872</v>
      </c>
      <c r="E434" s="8" t="s">
        <v>2873</v>
      </c>
      <c r="F434" s="8" t="s">
        <v>2874</v>
      </c>
      <c r="G434" s="6" t="s">
        <v>67</v>
      </c>
      <c r="H434" s="6" t="s">
        <v>53</v>
      </c>
      <c r="I434" s="8" t="s">
        <v>165</v>
      </c>
      <c r="J434" s="9">
        <v>1</v>
      </c>
      <c r="K434" s="9">
        <v>160</v>
      </c>
      <c r="L434" s="9">
        <v>2023</v>
      </c>
      <c r="M434" s="8" t="s">
        <v>2875</v>
      </c>
      <c r="N434" s="8" t="s">
        <v>56</v>
      </c>
      <c r="O434" s="8" t="s">
        <v>57</v>
      </c>
      <c r="P434" s="6" t="s">
        <v>42</v>
      </c>
      <c r="Q434" s="8" t="s">
        <v>43</v>
      </c>
      <c r="R434" s="10" t="s">
        <v>2876</v>
      </c>
      <c r="S434" s="11" t="s">
        <v>2877</v>
      </c>
      <c r="T434" s="6"/>
      <c r="U434" s="27" t="str">
        <f>HYPERLINK("https://media.infra-m.ru/1939/1939092/cover/1939092.jpg", "Обложка")</f>
        <v>Обложка</v>
      </c>
      <c r="V434" s="27" t="str">
        <f>HYPERLINK("https://znanium.com/catalog/product/1939092", "Ознакомиться")</f>
        <v>Ознакомиться</v>
      </c>
      <c r="W434" s="8" t="s">
        <v>2878</v>
      </c>
      <c r="X434" s="6"/>
      <c r="Y434" s="6"/>
      <c r="Z434" s="6"/>
      <c r="AA434" s="6" t="s">
        <v>47</v>
      </c>
    </row>
    <row r="435" spans="1:27" s="4" customFormat="1" ht="42" customHeight="1">
      <c r="A435" s="5">
        <v>0</v>
      </c>
      <c r="B435" s="6" t="s">
        <v>2879</v>
      </c>
      <c r="C435" s="13">
        <v>1804.9</v>
      </c>
      <c r="D435" s="8" t="s">
        <v>2880</v>
      </c>
      <c r="E435" s="8" t="s">
        <v>2881</v>
      </c>
      <c r="F435" s="8" t="s">
        <v>2882</v>
      </c>
      <c r="G435" s="6" t="s">
        <v>37</v>
      </c>
      <c r="H435" s="6" t="s">
        <v>939</v>
      </c>
      <c r="I435" s="8" t="s">
        <v>165</v>
      </c>
      <c r="J435" s="9">
        <v>1</v>
      </c>
      <c r="K435" s="9">
        <v>400</v>
      </c>
      <c r="L435" s="9">
        <v>2023</v>
      </c>
      <c r="M435" s="8" t="s">
        <v>2883</v>
      </c>
      <c r="N435" s="8" t="s">
        <v>56</v>
      </c>
      <c r="O435" s="8" t="s">
        <v>57</v>
      </c>
      <c r="P435" s="6" t="s">
        <v>42</v>
      </c>
      <c r="Q435" s="8" t="s">
        <v>43</v>
      </c>
      <c r="R435" s="10" t="s">
        <v>1896</v>
      </c>
      <c r="S435" s="11"/>
      <c r="T435" s="6"/>
      <c r="U435" s="27" t="str">
        <f>HYPERLINK("https://media.infra-m.ru/1984/1984073/cover/1984073.jpg", "Обложка")</f>
        <v>Обложка</v>
      </c>
      <c r="V435" s="27" t="str">
        <f>HYPERLINK("https://znanium.com/catalog/product/2124365", "Ознакомиться")</f>
        <v>Ознакомиться</v>
      </c>
      <c r="W435" s="8" t="s">
        <v>487</v>
      </c>
      <c r="X435" s="6"/>
      <c r="Y435" s="6"/>
      <c r="Z435" s="6"/>
      <c r="AA435" s="6" t="s">
        <v>208</v>
      </c>
    </row>
    <row r="436" spans="1:27" s="4" customFormat="1" ht="51.95" customHeight="1">
      <c r="A436" s="5">
        <v>0</v>
      </c>
      <c r="B436" s="6" t="s">
        <v>2884</v>
      </c>
      <c r="C436" s="13">
        <v>1440</v>
      </c>
      <c r="D436" s="8" t="s">
        <v>2885</v>
      </c>
      <c r="E436" s="8" t="s">
        <v>2881</v>
      </c>
      <c r="F436" s="8" t="s">
        <v>2882</v>
      </c>
      <c r="G436" s="6" t="s">
        <v>67</v>
      </c>
      <c r="H436" s="6" t="s">
        <v>939</v>
      </c>
      <c r="I436" s="8" t="s">
        <v>652</v>
      </c>
      <c r="J436" s="9">
        <v>1</v>
      </c>
      <c r="K436" s="9">
        <v>399</v>
      </c>
      <c r="L436" s="9">
        <v>2021</v>
      </c>
      <c r="M436" s="8" t="s">
        <v>2886</v>
      </c>
      <c r="N436" s="8" t="s">
        <v>56</v>
      </c>
      <c r="O436" s="8" t="s">
        <v>57</v>
      </c>
      <c r="P436" s="6" t="s">
        <v>42</v>
      </c>
      <c r="Q436" s="8" t="s">
        <v>654</v>
      </c>
      <c r="R436" s="10" t="s">
        <v>954</v>
      </c>
      <c r="S436" s="11" t="s">
        <v>2887</v>
      </c>
      <c r="T436" s="6"/>
      <c r="U436" s="27" t="str">
        <f>HYPERLINK("https://media.infra-m.ru/1242/1242553/cover/1242553.jpg", "Обложка")</f>
        <v>Обложка</v>
      </c>
      <c r="V436" s="27" t="str">
        <f>HYPERLINK("https://znanium.com/catalog/product/967459", "Ознакомиться")</f>
        <v>Ознакомиться</v>
      </c>
      <c r="W436" s="8" t="s">
        <v>487</v>
      </c>
      <c r="X436" s="6"/>
      <c r="Y436" s="6"/>
      <c r="Z436" s="6" t="s">
        <v>657</v>
      </c>
      <c r="AA436" s="6" t="s">
        <v>143</v>
      </c>
    </row>
    <row r="437" spans="1:27" s="4" customFormat="1" ht="42" customHeight="1">
      <c r="A437" s="5">
        <v>0</v>
      </c>
      <c r="B437" s="6" t="s">
        <v>2888</v>
      </c>
      <c r="C437" s="7">
        <v>732</v>
      </c>
      <c r="D437" s="8" t="s">
        <v>2889</v>
      </c>
      <c r="E437" s="8" t="s">
        <v>2890</v>
      </c>
      <c r="F437" s="8" t="s">
        <v>2891</v>
      </c>
      <c r="G437" s="6" t="s">
        <v>52</v>
      </c>
      <c r="H437" s="6" t="s">
        <v>53</v>
      </c>
      <c r="I437" s="8" t="s">
        <v>1519</v>
      </c>
      <c r="J437" s="9">
        <v>1</v>
      </c>
      <c r="K437" s="9">
        <v>108</v>
      </c>
      <c r="L437" s="9">
        <v>2024</v>
      </c>
      <c r="M437" s="8" t="s">
        <v>2892</v>
      </c>
      <c r="N437" s="8" t="s">
        <v>56</v>
      </c>
      <c r="O437" s="8" t="s">
        <v>57</v>
      </c>
      <c r="P437" s="6" t="s">
        <v>42</v>
      </c>
      <c r="Q437" s="8" t="s">
        <v>150</v>
      </c>
      <c r="R437" s="10" t="s">
        <v>132</v>
      </c>
      <c r="S437" s="11"/>
      <c r="T437" s="6" t="s">
        <v>277</v>
      </c>
      <c r="U437" s="27" t="str">
        <f>HYPERLINK("https://media.infra-m.ru/2061/2061331/cover/2061331.jpg", "Обложка")</f>
        <v>Обложка</v>
      </c>
      <c r="V437" s="27" t="str">
        <f>HYPERLINK("https://znanium.com/catalog/product/1164595", "Ознакомиться")</f>
        <v>Ознакомиться</v>
      </c>
      <c r="W437" s="8" t="s">
        <v>1522</v>
      </c>
      <c r="X437" s="6"/>
      <c r="Y437" s="6"/>
      <c r="Z437" s="6"/>
      <c r="AA437" s="6" t="s">
        <v>540</v>
      </c>
    </row>
    <row r="438" spans="1:27" s="4" customFormat="1" ht="44.1" customHeight="1">
      <c r="A438" s="5">
        <v>0</v>
      </c>
      <c r="B438" s="6" t="s">
        <v>2893</v>
      </c>
      <c r="C438" s="13">
        <v>2444</v>
      </c>
      <c r="D438" s="8" t="s">
        <v>2894</v>
      </c>
      <c r="E438" s="8" t="s">
        <v>2895</v>
      </c>
      <c r="F438" s="8" t="s">
        <v>2896</v>
      </c>
      <c r="G438" s="6" t="s">
        <v>37</v>
      </c>
      <c r="H438" s="6" t="s">
        <v>867</v>
      </c>
      <c r="I438" s="8"/>
      <c r="J438" s="9">
        <v>1</v>
      </c>
      <c r="K438" s="9">
        <v>790</v>
      </c>
      <c r="L438" s="9">
        <v>2024</v>
      </c>
      <c r="M438" s="8" t="s">
        <v>2897</v>
      </c>
      <c r="N438" s="8" t="s">
        <v>56</v>
      </c>
      <c r="O438" s="8" t="s">
        <v>57</v>
      </c>
      <c r="P438" s="6" t="s">
        <v>69</v>
      </c>
      <c r="Q438" s="8" t="s">
        <v>58</v>
      </c>
      <c r="R438" s="10" t="s">
        <v>285</v>
      </c>
      <c r="S438" s="11"/>
      <c r="T438" s="6"/>
      <c r="U438" s="27" t="str">
        <f>HYPERLINK("https://media.infra-m.ru/2058/2058770/cover/2058770.jpg", "Обложка")</f>
        <v>Обложка</v>
      </c>
      <c r="V438" s="12"/>
      <c r="W438" s="8" t="s">
        <v>307</v>
      </c>
      <c r="X438" s="6"/>
      <c r="Y438" s="6"/>
      <c r="Z438" s="6"/>
      <c r="AA438" s="6" t="s">
        <v>2898</v>
      </c>
    </row>
    <row r="439" spans="1:27" s="4" customFormat="1" ht="51.95" customHeight="1">
      <c r="A439" s="5">
        <v>0</v>
      </c>
      <c r="B439" s="6" t="s">
        <v>2899</v>
      </c>
      <c r="C439" s="13">
        <v>1740</v>
      </c>
      <c r="D439" s="8" t="s">
        <v>2900</v>
      </c>
      <c r="E439" s="8" t="s">
        <v>2901</v>
      </c>
      <c r="F439" s="8" t="s">
        <v>2902</v>
      </c>
      <c r="G439" s="6" t="s">
        <v>67</v>
      </c>
      <c r="H439" s="6" t="s">
        <v>98</v>
      </c>
      <c r="I439" s="8" t="s">
        <v>165</v>
      </c>
      <c r="J439" s="9">
        <v>1</v>
      </c>
      <c r="K439" s="9">
        <v>378</v>
      </c>
      <c r="L439" s="9">
        <v>2023</v>
      </c>
      <c r="M439" s="8" t="s">
        <v>2903</v>
      </c>
      <c r="N439" s="8" t="s">
        <v>56</v>
      </c>
      <c r="O439" s="8" t="s">
        <v>57</v>
      </c>
      <c r="P439" s="6" t="s">
        <v>42</v>
      </c>
      <c r="Q439" s="8" t="s">
        <v>43</v>
      </c>
      <c r="R439" s="10" t="s">
        <v>2868</v>
      </c>
      <c r="S439" s="11" t="s">
        <v>2904</v>
      </c>
      <c r="T439" s="6"/>
      <c r="U439" s="27" t="str">
        <f>HYPERLINK("https://media.infra-m.ru/2036/2036545/cover/2036545.jpg", "Обложка")</f>
        <v>Обложка</v>
      </c>
      <c r="V439" s="27" t="str">
        <f>HYPERLINK("https://znanium.com/catalog/product/2036545", "Ознакомиться")</f>
        <v>Ознакомиться</v>
      </c>
      <c r="W439" s="8" t="s">
        <v>2905</v>
      </c>
      <c r="X439" s="6"/>
      <c r="Y439" s="6"/>
      <c r="Z439" s="6"/>
      <c r="AA439" s="6" t="s">
        <v>253</v>
      </c>
    </row>
    <row r="440" spans="1:27" s="4" customFormat="1" ht="51.95" customHeight="1">
      <c r="A440" s="5">
        <v>0</v>
      </c>
      <c r="B440" s="6" t="s">
        <v>2906</v>
      </c>
      <c r="C440" s="13">
        <v>1730</v>
      </c>
      <c r="D440" s="8" t="s">
        <v>2907</v>
      </c>
      <c r="E440" s="8" t="s">
        <v>2901</v>
      </c>
      <c r="F440" s="8" t="s">
        <v>2908</v>
      </c>
      <c r="G440" s="6" t="s">
        <v>67</v>
      </c>
      <c r="H440" s="6" t="s">
        <v>597</v>
      </c>
      <c r="I440" s="8"/>
      <c r="J440" s="9">
        <v>1</v>
      </c>
      <c r="K440" s="9">
        <v>384</v>
      </c>
      <c r="L440" s="9">
        <v>2022</v>
      </c>
      <c r="M440" s="8" t="s">
        <v>2909</v>
      </c>
      <c r="N440" s="8" t="s">
        <v>56</v>
      </c>
      <c r="O440" s="8" t="s">
        <v>57</v>
      </c>
      <c r="P440" s="6" t="s">
        <v>69</v>
      </c>
      <c r="Q440" s="8" t="s">
        <v>43</v>
      </c>
      <c r="R440" s="10" t="s">
        <v>2910</v>
      </c>
      <c r="S440" s="11" t="s">
        <v>2911</v>
      </c>
      <c r="T440" s="6"/>
      <c r="U440" s="27" t="str">
        <f>HYPERLINK("https://media.infra-m.ru/1864/1864055/cover/1864055.jpg", "Обложка")</f>
        <v>Обложка</v>
      </c>
      <c r="V440" s="27" t="str">
        <f>HYPERLINK("https://znanium.com/catalog/product/1864055", "Ознакомиться")</f>
        <v>Ознакомиться</v>
      </c>
      <c r="W440" s="8" t="s">
        <v>2257</v>
      </c>
      <c r="X440" s="6"/>
      <c r="Y440" s="6"/>
      <c r="Z440" s="6"/>
      <c r="AA440" s="6" t="s">
        <v>47</v>
      </c>
    </row>
    <row r="441" spans="1:27" s="4" customFormat="1" ht="51.95" customHeight="1">
      <c r="A441" s="5">
        <v>0</v>
      </c>
      <c r="B441" s="6" t="s">
        <v>2912</v>
      </c>
      <c r="C441" s="7">
        <v>700</v>
      </c>
      <c r="D441" s="8" t="s">
        <v>2913</v>
      </c>
      <c r="E441" s="8" t="s">
        <v>2914</v>
      </c>
      <c r="F441" s="8" t="s">
        <v>2915</v>
      </c>
      <c r="G441" s="6" t="s">
        <v>67</v>
      </c>
      <c r="H441" s="6" t="s">
        <v>53</v>
      </c>
      <c r="I441" s="8" t="s">
        <v>54</v>
      </c>
      <c r="J441" s="9">
        <v>1</v>
      </c>
      <c r="K441" s="9">
        <v>146</v>
      </c>
      <c r="L441" s="9">
        <v>2024</v>
      </c>
      <c r="M441" s="8" t="s">
        <v>2916</v>
      </c>
      <c r="N441" s="8" t="s">
        <v>56</v>
      </c>
      <c r="O441" s="8" t="s">
        <v>57</v>
      </c>
      <c r="P441" s="6" t="s">
        <v>42</v>
      </c>
      <c r="Q441" s="8" t="s">
        <v>43</v>
      </c>
      <c r="R441" s="10" t="s">
        <v>2917</v>
      </c>
      <c r="S441" s="11" t="s">
        <v>2918</v>
      </c>
      <c r="T441" s="6"/>
      <c r="U441" s="27" t="str">
        <f>HYPERLINK("https://media.infra-m.ru/2036/2036546/cover/2036546.jpg", "Обложка")</f>
        <v>Обложка</v>
      </c>
      <c r="V441" s="27" t="str">
        <f>HYPERLINK("https://znanium.com/catalog/product/2036546", "Ознакомиться")</f>
        <v>Ознакомиться</v>
      </c>
      <c r="W441" s="8" t="s">
        <v>72</v>
      </c>
      <c r="X441" s="6"/>
      <c r="Y441" s="6"/>
      <c r="Z441" s="6"/>
      <c r="AA441" s="6" t="s">
        <v>1335</v>
      </c>
    </row>
    <row r="442" spans="1:27" s="4" customFormat="1" ht="51.95" customHeight="1">
      <c r="A442" s="5">
        <v>0</v>
      </c>
      <c r="B442" s="6" t="s">
        <v>2919</v>
      </c>
      <c r="C442" s="7">
        <v>844.9</v>
      </c>
      <c r="D442" s="8" t="s">
        <v>2920</v>
      </c>
      <c r="E442" s="8" t="s">
        <v>2921</v>
      </c>
      <c r="F442" s="8" t="s">
        <v>790</v>
      </c>
      <c r="G442" s="6" t="s">
        <v>37</v>
      </c>
      <c r="H442" s="6" t="s">
        <v>53</v>
      </c>
      <c r="I442" s="8" t="s">
        <v>148</v>
      </c>
      <c r="J442" s="9">
        <v>1</v>
      </c>
      <c r="K442" s="9">
        <v>289</v>
      </c>
      <c r="L442" s="9">
        <v>2018</v>
      </c>
      <c r="M442" s="8" t="s">
        <v>2922</v>
      </c>
      <c r="N442" s="8" t="s">
        <v>56</v>
      </c>
      <c r="O442" s="8" t="s">
        <v>57</v>
      </c>
      <c r="P442" s="6" t="s">
        <v>69</v>
      </c>
      <c r="Q442" s="8" t="s">
        <v>150</v>
      </c>
      <c r="R442" s="10" t="s">
        <v>2923</v>
      </c>
      <c r="S442" s="11" t="s">
        <v>2924</v>
      </c>
      <c r="T442" s="6" t="s">
        <v>277</v>
      </c>
      <c r="U442" s="27" t="str">
        <f>HYPERLINK("https://media.infra-m.ru/0975/0975898/cover/975898.jpg", "Обложка")</f>
        <v>Обложка</v>
      </c>
      <c r="V442" s="27" t="str">
        <f>HYPERLINK("https://znanium.com/catalog/product/1896122", "Ознакомиться")</f>
        <v>Ознакомиться</v>
      </c>
      <c r="W442" s="8" t="s">
        <v>287</v>
      </c>
      <c r="X442" s="6"/>
      <c r="Y442" s="6"/>
      <c r="Z442" s="6"/>
      <c r="AA442" s="6" t="s">
        <v>795</v>
      </c>
    </row>
    <row r="443" spans="1:27" s="4" customFormat="1" ht="51.95" customHeight="1">
      <c r="A443" s="5">
        <v>0</v>
      </c>
      <c r="B443" s="6" t="s">
        <v>2925</v>
      </c>
      <c r="C443" s="13">
        <v>1350</v>
      </c>
      <c r="D443" s="8" t="s">
        <v>2926</v>
      </c>
      <c r="E443" s="8" t="s">
        <v>2927</v>
      </c>
      <c r="F443" s="8" t="s">
        <v>97</v>
      </c>
      <c r="G443" s="6" t="s">
        <v>37</v>
      </c>
      <c r="H443" s="6" t="s">
        <v>53</v>
      </c>
      <c r="I443" s="8" t="s">
        <v>148</v>
      </c>
      <c r="J443" s="9">
        <v>1</v>
      </c>
      <c r="K443" s="9">
        <v>284</v>
      </c>
      <c r="L443" s="9">
        <v>2023</v>
      </c>
      <c r="M443" s="8" t="s">
        <v>2928</v>
      </c>
      <c r="N443" s="8" t="s">
        <v>56</v>
      </c>
      <c r="O443" s="8" t="s">
        <v>57</v>
      </c>
      <c r="P443" s="6" t="s">
        <v>69</v>
      </c>
      <c r="Q443" s="8" t="s">
        <v>150</v>
      </c>
      <c r="R443" s="10" t="s">
        <v>2923</v>
      </c>
      <c r="S443" s="11" t="s">
        <v>2929</v>
      </c>
      <c r="T443" s="6" t="s">
        <v>277</v>
      </c>
      <c r="U443" s="27" t="str">
        <f>HYPERLINK("https://media.infra-m.ru/1896/1896122/cover/1896122.jpg", "Обложка")</f>
        <v>Обложка</v>
      </c>
      <c r="V443" s="27" t="str">
        <f>HYPERLINK("https://znanium.com/catalog/product/1896122", "Ознакомиться")</f>
        <v>Ознакомиться</v>
      </c>
      <c r="W443" s="8" t="s">
        <v>287</v>
      </c>
      <c r="X443" s="6"/>
      <c r="Y443" s="6"/>
      <c r="Z443" s="6"/>
      <c r="AA443" s="6" t="s">
        <v>1385</v>
      </c>
    </row>
    <row r="444" spans="1:27" s="4" customFormat="1" ht="51.95" customHeight="1">
      <c r="A444" s="5">
        <v>0</v>
      </c>
      <c r="B444" s="6" t="s">
        <v>2930</v>
      </c>
      <c r="C444" s="13">
        <v>1044.9000000000001</v>
      </c>
      <c r="D444" s="8" t="s">
        <v>2931</v>
      </c>
      <c r="E444" s="8" t="s">
        <v>2932</v>
      </c>
      <c r="F444" s="8" t="s">
        <v>790</v>
      </c>
      <c r="G444" s="6" t="s">
        <v>37</v>
      </c>
      <c r="H444" s="6" t="s">
        <v>53</v>
      </c>
      <c r="I444" s="8" t="s">
        <v>148</v>
      </c>
      <c r="J444" s="9">
        <v>1</v>
      </c>
      <c r="K444" s="9">
        <v>289</v>
      </c>
      <c r="L444" s="9">
        <v>2021</v>
      </c>
      <c r="M444" s="8" t="s">
        <v>2922</v>
      </c>
      <c r="N444" s="8" t="s">
        <v>56</v>
      </c>
      <c r="O444" s="8" t="s">
        <v>57</v>
      </c>
      <c r="P444" s="6" t="s">
        <v>69</v>
      </c>
      <c r="Q444" s="8" t="s">
        <v>150</v>
      </c>
      <c r="R444" s="10" t="s">
        <v>2923</v>
      </c>
      <c r="S444" s="11" t="s">
        <v>2924</v>
      </c>
      <c r="T444" s="6" t="s">
        <v>277</v>
      </c>
      <c r="U444" s="27" t="str">
        <f>HYPERLINK("https://media.infra-m.ru/1290/1290640/cover/1290640.jpg", "Обложка")</f>
        <v>Обложка</v>
      </c>
      <c r="V444" s="27" t="str">
        <f>HYPERLINK("https://znanium.com/catalog/product/1896122", "Ознакомиться")</f>
        <v>Ознакомиться</v>
      </c>
      <c r="W444" s="8" t="s">
        <v>287</v>
      </c>
      <c r="X444" s="6"/>
      <c r="Y444" s="6"/>
      <c r="Z444" s="6"/>
      <c r="AA444" s="6" t="s">
        <v>467</v>
      </c>
    </row>
    <row r="445" spans="1:27" s="4" customFormat="1" ht="51.95" customHeight="1">
      <c r="A445" s="5">
        <v>0</v>
      </c>
      <c r="B445" s="6" t="s">
        <v>2933</v>
      </c>
      <c r="C445" s="7">
        <v>554.9</v>
      </c>
      <c r="D445" s="8" t="s">
        <v>2934</v>
      </c>
      <c r="E445" s="8" t="s">
        <v>2935</v>
      </c>
      <c r="F445" s="8" t="s">
        <v>1607</v>
      </c>
      <c r="G445" s="6" t="s">
        <v>52</v>
      </c>
      <c r="H445" s="6" t="s">
        <v>53</v>
      </c>
      <c r="I445" s="8" t="s">
        <v>148</v>
      </c>
      <c r="J445" s="9">
        <v>1</v>
      </c>
      <c r="K445" s="9">
        <v>150</v>
      </c>
      <c r="L445" s="9">
        <v>2018</v>
      </c>
      <c r="M445" s="8" t="s">
        <v>2936</v>
      </c>
      <c r="N445" s="8" t="s">
        <v>56</v>
      </c>
      <c r="O445" s="8" t="s">
        <v>57</v>
      </c>
      <c r="P445" s="6" t="s">
        <v>42</v>
      </c>
      <c r="Q445" s="8" t="s">
        <v>150</v>
      </c>
      <c r="R445" s="10" t="s">
        <v>2937</v>
      </c>
      <c r="S445" s="11"/>
      <c r="T445" s="6"/>
      <c r="U445" s="27" t="str">
        <f>HYPERLINK("https://media.infra-m.ru/0995/0995348/cover/995348.jpg", "Обложка")</f>
        <v>Обложка</v>
      </c>
      <c r="V445" s="27" t="str">
        <f>HYPERLINK("https://znanium.com/catalog/product/1074318", "Ознакомиться")</f>
        <v>Ознакомиться</v>
      </c>
      <c r="W445" s="8" t="s">
        <v>1610</v>
      </c>
      <c r="X445" s="6"/>
      <c r="Y445" s="6"/>
      <c r="Z445" s="6"/>
      <c r="AA445" s="6" t="s">
        <v>73</v>
      </c>
    </row>
    <row r="446" spans="1:27" s="4" customFormat="1" ht="51.95" customHeight="1">
      <c r="A446" s="5">
        <v>0</v>
      </c>
      <c r="B446" s="6" t="s">
        <v>2938</v>
      </c>
      <c r="C446" s="13">
        <v>1084</v>
      </c>
      <c r="D446" s="8" t="s">
        <v>2939</v>
      </c>
      <c r="E446" s="8" t="s">
        <v>2940</v>
      </c>
      <c r="F446" s="8" t="s">
        <v>2941</v>
      </c>
      <c r="G446" s="6" t="s">
        <v>37</v>
      </c>
      <c r="H446" s="6" t="s">
        <v>38</v>
      </c>
      <c r="I446" s="8"/>
      <c r="J446" s="9">
        <v>1</v>
      </c>
      <c r="K446" s="9">
        <v>240</v>
      </c>
      <c r="L446" s="9">
        <v>2023</v>
      </c>
      <c r="M446" s="8" t="s">
        <v>2942</v>
      </c>
      <c r="N446" s="8" t="s">
        <v>56</v>
      </c>
      <c r="O446" s="8" t="s">
        <v>57</v>
      </c>
      <c r="P446" s="6" t="s">
        <v>42</v>
      </c>
      <c r="Q446" s="8" t="s">
        <v>43</v>
      </c>
      <c r="R446" s="10" t="s">
        <v>2943</v>
      </c>
      <c r="S446" s="11"/>
      <c r="T446" s="6"/>
      <c r="U446" s="27" t="str">
        <f>HYPERLINK("https://media.infra-m.ru/1998/1998761/cover/1998761.jpg", "Обложка")</f>
        <v>Обложка</v>
      </c>
      <c r="V446" s="27" t="str">
        <f>HYPERLINK("https://znanium.com/catalog/product/1014759", "Ознакомиться")</f>
        <v>Ознакомиться</v>
      </c>
      <c r="W446" s="8" t="s">
        <v>1610</v>
      </c>
      <c r="X446" s="6"/>
      <c r="Y446" s="6"/>
      <c r="Z446" s="6"/>
      <c r="AA446" s="6" t="s">
        <v>84</v>
      </c>
    </row>
    <row r="447" spans="1:27" s="4" customFormat="1" ht="51.95" customHeight="1">
      <c r="A447" s="5">
        <v>0</v>
      </c>
      <c r="B447" s="6" t="s">
        <v>2944</v>
      </c>
      <c r="C447" s="7">
        <v>854.9</v>
      </c>
      <c r="D447" s="8" t="s">
        <v>2945</v>
      </c>
      <c r="E447" s="8" t="s">
        <v>2946</v>
      </c>
      <c r="F447" s="8" t="s">
        <v>2947</v>
      </c>
      <c r="G447" s="6" t="s">
        <v>37</v>
      </c>
      <c r="H447" s="6" t="s">
        <v>53</v>
      </c>
      <c r="I447" s="8" t="s">
        <v>165</v>
      </c>
      <c r="J447" s="9">
        <v>1</v>
      </c>
      <c r="K447" s="9">
        <v>224</v>
      </c>
      <c r="L447" s="9">
        <v>2022</v>
      </c>
      <c r="M447" s="8" t="s">
        <v>2948</v>
      </c>
      <c r="N447" s="8" t="s">
        <v>56</v>
      </c>
      <c r="O447" s="8" t="s">
        <v>57</v>
      </c>
      <c r="P447" s="6" t="s">
        <v>42</v>
      </c>
      <c r="Q447" s="8" t="s">
        <v>43</v>
      </c>
      <c r="R447" s="10" t="s">
        <v>2061</v>
      </c>
      <c r="S447" s="11" t="s">
        <v>2949</v>
      </c>
      <c r="T447" s="6"/>
      <c r="U447" s="27" t="str">
        <f>HYPERLINK("https://media.infra-m.ru/1850/1850665/cover/1850665.jpg", "Обложка")</f>
        <v>Обложка</v>
      </c>
      <c r="V447" s="27" t="str">
        <f>HYPERLINK("https://znanium.com/catalog/product/1032985", "Ознакомиться")</f>
        <v>Ознакомиться</v>
      </c>
      <c r="W447" s="8" t="s">
        <v>287</v>
      </c>
      <c r="X447" s="6"/>
      <c r="Y447" s="6"/>
      <c r="Z447" s="6"/>
      <c r="AA447" s="6" t="s">
        <v>1120</v>
      </c>
    </row>
    <row r="448" spans="1:27" s="4" customFormat="1" ht="51.95" customHeight="1">
      <c r="A448" s="5">
        <v>0</v>
      </c>
      <c r="B448" s="6" t="s">
        <v>2950</v>
      </c>
      <c r="C448" s="7">
        <v>954.9</v>
      </c>
      <c r="D448" s="8" t="s">
        <v>2951</v>
      </c>
      <c r="E448" s="8" t="s">
        <v>2952</v>
      </c>
      <c r="F448" s="8" t="s">
        <v>2947</v>
      </c>
      <c r="G448" s="6" t="s">
        <v>37</v>
      </c>
      <c r="H448" s="6" t="s">
        <v>867</v>
      </c>
      <c r="I448" s="8" t="s">
        <v>54</v>
      </c>
      <c r="J448" s="9">
        <v>1</v>
      </c>
      <c r="K448" s="9">
        <v>251</v>
      </c>
      <c r="L448" s="9">
        <v>2022</v>
      </c>
      <c r="M448" s="8" t="s">
        <v>2953</v>
      </c>
      <c r="N448" s="8" t="s">
        <v>56</v>
      </c>
      <c r="O448" s="8" t="s">
        <v>57</v>
      </c>
      <c r="P448" s="6" t="s">
        <v>42</v>
      </c>
      <c r="Q448" s="8" t="s">
        <v>43</v>
      </c>
      <c r="R448" s="10" t="s">
        <v>2954</v>
      </c>
      <c r="S448" s="11" t="s">
        <v>2955</v>
      </c>
      <c r="T448" s="6"/>
      <c r="U448" s="27" t="str">
        <f>HYPERLINK("https://media.infra-m.ru/1836/1836633/cover/1836633.jpg", "Обложка")</f>
        <v>Обложка</v>
      </c>
      <c r="V448" s="27" t="str">
        <f>HYPERLINK("https://znanium.com/catalog/product/1836633", "Ознакомиться")</f>
        <v>Ознакомиться</v>
      </c>
      <c r="W448" s="8" t="s">
        <v>287</v>
      </c>
      <c r="X448" s="6"/>
      <c r="Y448" s="6"/>
      <c r="Z448" s="6"/>
      <c r="AA448" s="6" t="s">
        <v>186</v>
      </c>
    </row>
    <row r="449" spans="1:27" s="4" customFormat="1" ht="51.95" customHeight="1">
      <c r="A449" s="5">
        <v>0</v>
      </c>
      <c r="B449" s="6" t="s">
        <v>2956</v>
      </c>
      <c r="C449" s="13">
        <v>1394</v>
      </c>
      <c r="D449" s="8" t="s">
        <v>2957</v>
      </c>
      <c r="E449" s="8" t="s">
        <v>2958</v>
      </c>
      <c r="F449" s="8" t="s">
        <v>2959</v>
      </c>
      <c r="G449" s="6" t="s">
        <v>52</v>
      </c>
      <c r="H449" s="6" t="s">
        <v>939</v>
      </c>
      <c r="I449" s="8" t="s">
        <v>652</v>
      </c>
      <c r="J449" s="9">
        <v>1</v>
      </c>
      <c r="K449" s="9">
        <v>304</v>
      </c>
      <c r="L449" s="9">
        <v>2023</v>
      </c>
      <c r="M449" s="8" t="s">
        <v>2960</v>
      </c>
      <c r="N449" s="8" t="s">
        <v>56</v>
      </c>
      <c r="O449" s="8" t="s">
        <v>57</v>
      </c>
      <c r="P449" s="6" t="s">
        <v>42</v>
      </c>
      <c r="Q449" s="8" t="s">
        <v>654</v>
      </c>
      <c r="R449" s="10" t="s">
        <v>2767</v>
      </c>
      <c r="S449" s="11" t="s">
        <v>2961</v>
      </c>
      <c r="T449" s="6"/>
      <c r="U449" s="27" t="str">
        <f>HYPERLINK("https://media.infra-m.ru/1910/1910575/cover/1910575.jpg", "Обложка")</f>
        <v>Обложка</v>
      </c>
      <c r="V449" s="27" t="str">
        <f>HYPERLINK("https://znanium.com/catalog/product/1280462", "Ознакомиться")</f>
        <v>Ознакомиться</v>
      </c>
      <c r="W449" s="8" t="s">
        <v>2962</v>
      </c>
      <c r="X449" s="6"/>
      <c r="Y449" s="6"/>
      <c r="Z449" s="6"/>
      <c r="AA449" s="6" t="s">
        <v>417</v>
      </c>
    </row>
    <row r="450" spans="1:27" s="4" customFormat="1" ht="51.95" customHeight="1">
      <c r="A450" s="5">
        <v>0</v>
      </c>
      <c r="B450" s="6" t="s">
        <v>2963</v>
      </c>
      <c r="C450" s="7">
        <v>464.9</v>
      </c>
      <c r="D450" s="8" t="s">
        <v>2964</v>
      </c>
      <c r="E450" s="8" t="s">
        <v>2965</v>
      </c>
      <c r="F450" s="8" t="s">
        <v>2966</v>
      </c>
      <c r="G450" s="6" t="s">
        <v>37</v>
      </c>
      <c r="H450" s="6" t="s">
        <v>53</v>
      </c>
      <c r="I450" s="8" t="s">
        <v>165</v>
      </c>
      <c r="J450" s="9">
        <v>1</v>
      </c>
      <c r="K450" s="9">
        <v>160</v>
      </c>
      <c r="L450" s="9">
        <v>2017</v>
      </c>
      <c r="M450" s="8" t="s">
        <v>2967</v>
      </c>
      <c r="N450" s="8" t="s">
        <v>56</v>
      </c>
      <c r="O450" s="8" t="s">
        <v>57</v>
      </c>
      <c r="P450" s="6" t="s">
        <v>42</v>
      </c>
      <c r="Q450" s="8" t="s">
        <v>43</v>
      </c>
      <c r="R450" s="10" t="s">
        <v>2968</v>
      </c>
      <c r="S450" s="11" t="s">
        <v>2969</v>
      </c>
      <c r="T450" s="6"/>
      <c r="U450" s="27" t="str">
        <f>HYPERLINK("https://media.infra-m.ru/0769/0769942/cover/769942.jpg", "Обложка")</f>
        <v>Обложка</v>
      </c>
      <c r="V450" s="27" t="str">
        <f>HYPERLINK("https://znanium.com/catalog/product/318436", "Ознакомиться")</f>
        <v>Ознакомиться</v>
      </c>
      <c r="W450" s="8" t="s">
        <v>287</v>
      </c>
      <c r="X450" s="6"/>
      <c r="Y450" s="6"/>
      <c r="Z450" s="6"/>
      <c r="AA450" s="6" t="s">
        <v>62</v>
      </c>
    </row>
    <row r="451" spans="1:27" s="4" customFormat="1" ht="51.95" customHeight="1">
      <c r="A451" s="5">
        <v>0</v>
      </c>
      <c r="B451" s="6" t="s">
        <v>2970</v>
      </c>
      <c r="C451" s="13">
        <v>1610</v>
      </c>
      <c r="D451" s="8" t="s">
        <v>2971</v>
      </c>
      <c r="E451" s="8" t="s">
        <v>2972</v>
      </c>
      <c r="F451" s="8" t="s">
        <v>2973</v>
      </c>
      <c r="G451" s="6" t="s">
        <v>67</v>
      </c>
      <c r="H451" s="6" t="s">
        <v>53</v>
      </c>
      <c r="I451" s="8" t="s">
        <v>54</v>
      </c>
      <c r="J451" s="9">
        <v>1</v>
      </c>
      <c r="K451" s="9">
        <v>350</v>
      </c>
      <c r="L451" s="9">
        <v>2024</v>
      </c>
      <c r="M451" s="8" t="s">
        <v>2974</v>
      </c>
      <c r="N451" s="8" t="s">
        <v>56</v>
      </c>
      <c r="O451" s="8" t="s">
        <v>57</v>
      </c>
      <c r="P451" s="6" t="s">
        <v>69</v>
      </c>
      <c r="Q451" s="8" t="s">
        <v>43</v>
      </c>
      <c r="R451" s="10" t="s">
        <v>2975</v>
      </c>
      <c r="S451" s="11" t="s">
        <v>2976</v>
      </c>
      <c r="T451" s="6"/>
      <c r="U451" s="27" t="str">
        <f>HYPERLINK("https://media.infra-m.ru/2091/2091889/cover/2091889.jpg", "Обложка")</f>
        <v>Обложка</v>
      </c>
      <c r="V451" s="27" t="str">
        <f>HYPERLINK("https://znanium.com/catalog/product/2091889", "Ознакомиться")</f>
        <v>Ознакомиться</v>
      </c>
      <c r="W451" s="8"/>
      <c r="X451" s="6"/>
      <c r="Y451" s="6"/>
      <c r="Z451" s="6"/>
      <c r="AA451" s="6" t="s">
        <v>2631</v>
      </c>
    </row>
    <row r="452" spans="1:27" s="4" customFormat="1" ht="51.95" customHeight="1">
      <c r="A452" s="5">
        <v>0</v>
      </c>
      <c r="B452" s="6" t="s">
        <v>2977</v>
      </c>
      <c r="C452" s="13">
        <v>1334</v>
      </c>
      <c r="D452" s="8" t="s">
        <v>2978</v>
      </c>
      <c r="E452" s="8" t="s">
        <v>2979</v>
      </c>
      <c r="F452" s="8" t="s">
        <v>2980</v>
      </c>
      <c r="G452" s="6" t="s">
        <v>37</v>
      </c>
      <c r="H452" s="6" t="s">
        <v>38</v>
      </c>
      <c r="I452" s="8"/>
      <c r="J452" s="9">
        <v>1</v>
      </c>
      <c r="K452" s="9">
        <v>288</v>
      </c>
      <c r="L452" s="9">
        <v>2024</v>
      </c>
      <c r="M452" s="8" t="s">
        <v>2981</v>
      </c>
      <c r="N452" s="8" t="s">
        <v>56</v>
      </c>
      <c r="O452" s="8" t="s">
        <v>57</v>
      </c>
      <c r="P452" s="6" t="s">
        <v>42</v>
      </c>
      <c r="Q452" s="8" t="s">
        <v>43</v>
      </c>
      <c r="R452" s="10" t="s">
        <v>2982</v>
      </c>
      <c r="S452" s="11" t="s">
        <v>2983</v>
      </c>
      <c r="T452" s="6"/>
      <c r="U452" s="27" t="str">
        <f>HYPERLINK("https://media.infra-m.ru/2056/2056648/cover/2056648.jpg", "Обложка")</f>
        <v>Обложка</v>
      </c>
      <c r="V452" s="27" t="str">
        <f>HYPERLINK("https://znanium.com/catalog/product/1832416", "Ознакомиться")</f>
        <v>Ознакомиться</v>
      </c>
      <c r="W452" s="8" t="s">
        <v>2200</v>
      </c>
      <c r="X452" s="6"/>
      <c r="Y452" s="6"/>
      <c r="Z452" s="6"/>
      <c r="AA452" s="6" t="s">
        <v>795</v>
      </c>
    </row>
    <row r="453" spans="1:27" s="4" customFormat="1" ht="51.95" customHeight="1">
      <c r="A453" s="5">
        <v>0</v>
      </c>
      <c r="B453" s="6" t="s">
        <v>2984</v>
      </c>
      <c r="C453" s="13">
        <v>2494</v>
      </c>
      <c r="D453" s="8" t="s">
        <v>2985</v>
      </c>
      <c r="E453" s="8" t="s">
        <v>2986</v>
      </c>
      <c r="F453" s="8" t="s">
        <v>2987</v>
      </c>
      <c r="G453" s="6" t="s">
        <v>67</v>
      </c>
      <c r="H453" s="6" t="s">
        <v>239</v>
      </c>
      <c r="I453" s="8" t="s">
        <v>377</v>
      </c>
      <c r="J453" s="9">
        <v>1</v>
      </c>
      <c r="K453" s="9">
        <v>624</v>
      </c>
      <c r="L453" s="9">
        <v>2024</v>
      </c>
      <c r="M453" s="8" t="s">
        <v>2988</v>
      </c>
      <c r="N453" s="8" t="s">
        <v>56</v>
      </c>
      <c r="O453" s="8" t="s">
        <v>57</v>
      </c>
      <c r="P453" s="6" t="s">
        <v>42</v>
      </c>
      <c r="Q453" s="8" t="s">
        <v>43</v>
      </c>
      <c r="R453" s="10" t="s">
        <v>2989</v>
      </c>
      <c r="S453" s="11" t="s">
        <v>2990</v>
      </c>
      <c r="T453" s="6"/>
      <c r="U453" s="27" t="str">
        <f>HYPERLINK("https://media.infra-m.ru/2056/2056802/cover/2056802.jpg", "Обложка")</f>
        <v>Обложка</v>
      </c>
      <c r="V453" s="27" t="str">
        <f>HYPERLINK("https://znanium.com/catalog/product/1209857", "Ознакомиться")</f>
        <v>Ознакомиться</v>
      </c>
      <c r="W453" s="8" t="s">
        <v>539</v>
      </c>
      <c r="X453" s="6"/>
      <c r="Y453" s="6"/>
      <c r="Z453" s="6"/>
      <c r="AA453" s="6" t="s">
        <v>1306</v>
      </c>
    </row>
    <row r="454" spans="1:27" s="4" customFormat="1" ht="51.95" customHeight="1">
      <c r="A454" s="5">
        <v>0</v>
      </c>
      <c r="B454" s="6" t="s">
        <v>2991</v>
      </c>
      <c r="C454" s="13">
        <v>1370</v>
      </c>
      <c r="D454" s="8" t="s">
        <v>2992</v>
      </c>
      <c r="E454" s="8" t="s">
        <v>2986</v>
      </c>
      <c r="F454" s="8" t="s">
        <v>2993</v>
      </c>
      <c r="G454" s="6" t="s">
        <v>67</v>
      </c>
      <c r="H454" s="6" t="s">
        <v>53</v>
      </c>
      <c r="I454" s="8" t="s">
        <v>652</v>
      </c>
      <c r="J454" s="9">
        <v>1</v>
      </c>
      <c r="K454" s="9">
        <v>297</v>
      </c>
      <c r="L454" s="9">
        <v>2024</v>
      </c>
      <c r="M454" s="8" t="s">
        <v>2994</v>
      </c>
      <c r="N454" s="8" t="s">
        <v>56</v>
      </c>
      <c r="O454" s="8" t="s">
        <v>57</v>
      </c>
      <c r="P454" s="6" t="s">
        <v>42</v>
      </c>
      <c r="Q454" s="8" t="s">
        <v>654</v>
      </c>
      <c r="R454" s="10" t="s">
        <v>2995</v>
      </c>
      <c r="S454" s="11"/>
      <c r="T454" s="6" t="s">
        <v>277</v>
      </c>
      <c r="U454" s="27" t="str">
        <f>HYPERLINK("https://media.infra-m.ru/2098/2098479/cover/2098479.jpg", "Обложка")</f>
        <v>Обложка</v>
      </c>
      <c r="V454" s="27" t="str">
        <f>HYPERLINK("https://znanium.com/catalog/product/2098479", "Ознакомиться")</f>
        <v>Ознакомиться</v>
      </c>
      <c r="W454" s="8" t="s">
        <v>2996</v>
      </c>
      <c r="X454" s="6" t="s">
        <v>903</v>
      </c>
      <c r="Y454" s="6"/>
      <c r="Z454" s="6" t="s">
        <v>2997</v>
      </c>
      <c r="AA454" s="6" t="s">
        <v>1133</v>
      </c>
    </row>
    <row r="455" spans="1:27" s="4" customFormat="1" ht="51.95" customHeight="1">
      <c r="A455" s="5">
        <v>0</v>
      </c>
      <c r="B455" s="6" t="s">
        <v>2998</v>
      </c>
      <c r="C455" s="13">
        <v>1380</v>
      </c>
      <c r="D455" s="8" t="s">
        <v>2999</v>
      </c>
      <c r="E455" s="8" t="s">
        <v>2986</v>
      </c>
      <c r="F455" s="8" t="s">
        <v>2993</v>
      </c>
      <c r="G455" s="6" t="s">
        <v>67</v>
      </c>
      <c r="H455" s="6" t="s">
        <v>53</v>
      </c>
      <c r="I455" s="8" t="s">
        <v>54</v>
      </c>
      <c r="J455" s="9">
        <v>1</v>
      </c>
      <c r="K455" s="9">
        <v>297</v>
      </c>
      <c r="L455" s="9">
        <v>2024</v>
      </c>
      <c r="M455" s="8" t="s">
        <v>3000</v>
      </c>
      <c r="N455" s="8" t="s">
        <v>56</v>
      </c>
      <c r="O455" s="8" t="s">
        <v>57</v>
      </c>
      <c r="P455" s="6" t="s">
        <v>42</v>
      </c>
      <c r="Q455" s="8" t="s">
        <v>58</v>
      </c>
      <c r="R455" s="10" t="s">
        <v>3001</v>
      </c>
      <c r="S455" s="11" t="s">
        <v>3002</v>
      </c>
      <c r="T455" s="6" t="s">
        <v>277</v>
      </c>
      <c r="U455" s="27" t="str">
        <f>HYPERLINK("https://media.infra-m.ru/2048/2048912/cover/2048912.jpg", "Обложка")</f>
        <v>Обложка</v>
      </c>
      <c r="V455" s="27" t="str">
        <f>HYPERLINK("https://znanium.com/catalog/product/2048912", "Ознакомиться")</f>
        <v>Ознакомиться</v>
      </c>
      <c r="W455" s="8" t="s">
        <v>2996</v>
      </c>
      <c r="X455" s="6"/>
      <c r="Y455" s="6"/>
      <c r="Z455" s="6"/>
      <c r="AA455" s="6" t="s">
        <v>288</v>
      </c>
    </row>
    <row r="456" spans="1:27" s="4" customFormat="1" ht="51.95" customHeight="1">
      <c r="A456" s="5">
        <v>0</v>
      </c>
      <c r="B456" s="6" t="s">
        <v>3003</v>
      </c>
      <c r="C456" s="13">
        <v>1684.9</v>
      </c>
      <c r="D456" s="8" t="s">
        <v>3004</v>
      </c>
      <c r="E456" s="8" t="s">
        <v>3005</v>
      </c>
      <c r="F456" s="8" t="s">
        <v>3006</v>
      </c>
      <c r="G456" s="6" t="s">
        <v>37</v>
      </c>
      <c r="H456" s="6" t="s">
        <v>939</v>
      </c>
      <c r="I456" s="8" t="s">
        <v>165</v>
      </c>
      <c r="J456" s="9">
        <v>1</v>
      </c>
      <c r="K456" s="9">
        <v>375</v>
      </c>
      <c r="L456" s="9">
        <v>2023</v>
      </c>
      <c r="M456" s="8" t="s">
        <v>3007</v>
      </c>
      <c r="N456" s="8" t="s">
        <v>56</v>
      </c>
      <c r="O456" s="8" t="s">
        <v>57</v>
      </c>
      <c r="P456" s="6" t="s">
        <v>42</v>
      </c>
      <c r="Q456" s="8" t="s">
        <v>43</v>
      </c>
      <c r="R456" s="10" t="s">
        <v>2868</v>
      </c>
      <c r="S456" s="11" t="s">
        <v>3008</v>
      </c>
      <c r="T456" s="6"/>
      <c r="U456" s="27" t="str">
        <f>HYPERLINK("https://media.infra-m.ru/1898/1898392/cover/1898392.jpg", "Обложка")</f>
        <v>Обложка</v>
      </c>
      <c r="V456" s="27" t="str">
        <f>HYPERLINK("https://znanium.com/catalog/product/1834787", "Ознакомиться")</f>
        <v>Ознакомиться</v>
      </c>
      <c r="W456" s="8" t="s">
        <v>3009</v>
      </c>
      <c r="X456" s="6"/>
      <c r="Y456" s="6"/>
      <c r="Z456" s="6"/>
      <c r="AA456" s="6" t="s">
        <v>496</v>
      </c>
    </row>
    <row r="457" spans="1:27" s="4" customFormat="1" ht="51.95" customHeight="1">
      <c r="A457" s="5">
        <v>0</v>
      </c>
      <c r="B457" s="6" t="s">
        <v>3010</v>
      </c>
      <c r="C457" s="13">
        <v>1390</v>
      </c>
      <c r="D457" s="8" t="s">
        <v>3011</v>
      </c>
      <c r="E457" s="8" t="s">
        <v>3012</v>
      </c>
      <c r="F457" s="8" t="s">
        <v>965</v>
      </c>
      <c r="G457" s="6" t="s">
        <v>37</v>
      </c>
      <c r="H457" s="6" t="s">
        <v>53</v>
      </c>
      <c r="I457" s="8" t="s">
        <v>165</v>
      </c>
      <c r="J457" s="9">
        <v>1</v>
      </c>
      <c r="K457" s="9">
        <v>297</v>
      </c>
      <c r="L457" s="9">
        <v>2023</v>
      </c>
      <c r="M457" s="8" t="s">
        <v>3013</v>
      </c>
      <c r="N457" s="8" t="s">
        <v>56</v>
      </c>
      <c r="O457" s="8" t="s">
        <v>57</v>
      </c>
      <c r="P457" s="6" t="s">
        <v>42</v>
      </c>
      <c r="Q457" s="8" t="s">
        <v>43</v>
      </c>
      <c r="R457" s="10" t="s">
        <v>2490</v>
      </c>
      <c r="S457" s="11" t="s">
        <v>3014</v>
      </c>
      <c r="T457" s="6"/>
      <c r="U457" s="27" t="str">
        <f>HYPERLINK("https://media.infra-m.ru/1063/1063619/cover/1063619.jpg", "Обложка")</f>
        <v>Обложка</v>
      </c>
      <c r="V457" s="27" t="str">
        <f>HYPERLINK("https://znanium.com/catalog/product/1063619", "Ознакомиться")</f>
        <v>Ознакомиться</v>
      </c>
      <c r="W457" s="8" t="s">
        <v>3015</v>
      </c>
      <c r="X457" s="6" t="s">
        <v>178</v>
      </c>
      <c r="Y457" s="6"/>
      <c r="Z457" s="6"/>
      <c r="AA457" s="6" t="s">
        <v>93</v>
      </c>
    </row>
    <row r="458" spans="1:27" s="4" customFormat="1" ht="51.95" customHeight="1">
      <c r="A458" s="5">
        <v>0</v>
      </c>
      <c r="B458" s="6" t="s">
        <v>3016</v>
      </c>
      <c r="C458" s="7">
        <v>820</v>
      </c>
      <c r="D458" s="8" t="s">
        <v>3017</v>
      </c>
      <c r="E458" s="8" t="s">
        <v>3018</v>
      </c>
      <c r="F458" s="8" t="s">
        <v>3019</v>
      </c>
      <c r="G458" s="6" t="s">
        <v>67</v>
      </c>
      <c r="H458" s="6" t="s">
        <v>53</v>
      </c>
      <c r="I458" s="8" t="s">
        <v>165</v>
      </c>
      <c r="J458" s="9">
        <v>1</v>
      </c>
      <c r="K458" s="9">
        <v>164</v>
      </c>
      <c r="L458" s="9">
        <v>2023</v>
      </c>
      <c r="M458" s="8" t="s">
        <v>3020</v>
      </c>
      <c r="N458" s="8" t="s">
        <v>56</v>
      </c>
      <c r="O458" s="8" t="s">
        <v>57</v>
      </c>
      <c r="P458" s="6" t="s">
        <v>42</v>
      </c>
      <c r="Q458" s="8" t="s">
        <v>43</v>
      </c>
      <c r="R458" s="10" t="s">
        <v>3021</v>
      </c>
      <c r="S458" s="11" t="s">
        <v>3022</v>
      </c>
      <c r="T458" s="6"/>
      <c r="U458" s="27" t="str">
        <f>HYPERLINK("https://media.infra-m.ru/1870/1870407/cover/1870407.jpg", "Обложка")</f>
        <v>Обложка</v>
      </c>
      <c r="V458" s="27" t="str">
        <f>HYPERLINK("https://znanium.com/catalog/product/1870407", "Ознакомиться")</f>
        <v>Ознакомиться</v>
      </c>
      <c r="W458" s="8" t="s">
        <v>3023</v>
      </c>
      <c r="X458" s="6"/>
      <c r="Y458" s="6"/>
      <c r="Z458" s="6"/>
      <c r="AA458" s="6" t="s">
        <v>73</v>
      </c>
    </row>
    <row r="459" spans="1:27" s="4" customFormat="1" ht="51.95" customHeight="1">
      <c r="A459" s="5">
        <v>0</v>
      </c>
      <c r="B459" s="6" t="s">
        <v>3024</v>
      </c>
      <c r="C459" s="13">
        <v>1400</v>
      </c>
      <c r="D459" s="8" t="s">
        <v>3025</v>
      </c>
      <c r="E459" s="8" t="s">
        <v>3026</v>
      </c>
      <c r="F459" s="8" t="s">
        <v>3027</v>
      </c>
      <c r="G459" s="6" t="s">
        <v>67</v>
      </c>
      <c r="H459" s="6" t="s">
        <v>53</v>
      </c>
      <c r="I459" s="8" t="s">
        <v>54</v>
      </c>
      <c r="J459" s="9">
        <v>1</v>
      </c>
      <c r="K459" s="9">
        <v>312</v>
      </c>
      <c r="L459" s="9">
        <v>2023</v>
      </c>
      <c r="M459" s="8" t="s">
        <v>3028</v>
      </c>
      <c r="N459" s="8" t="s">
        <v>56</v>
      </c>
      <c r="O459" s="8" t="s">
        <v>57</v>
      </c>
      <c r="P459" s="6" t="s">
        <v>69</v>
      </c>
      <c r="Q459" s="8" t="s">
        <v>43</v>
      </c>
      <c r="R459" s="10" t="s">
        <v>3029</v>
      </c>
      <c r="S459" s="11" t="s">
        <v>3030</v>
      </c>
      <c r="T459" s="6"/>
      <c r="U459" s="27" t="str">
        <f>HYPERLINK("https://media.infra-m.ru/1893/1893924/cover/1893924.jpg", "Обложка")</f>
        <v>Обложка</v>
      </c>
      <c r="V459" s="27" t="str">
        <f>HYPERLINK("https://znanium.com/catalog/product/1893924", "Ознакомиться")</f>
        <v>Ознакомиться</v>
      </c>
      <c r="W459" s="8"/>
      <c r="X459" s="6"/>
      <c r="Y459" s="6"/>
      <c r="Z459" s="6"/>
      <c r="AA459" s="6" t="s">
        <v>62</v>
      </c>
    </row>
    <row r="460" spans="1:27" s="4" customFormat="1" ht="51.95" customHeight="1">
      <c r="A460" s="5">
        <v>0</v>
      </c>
      <c r="B460" s="6" t="s">
        <v>3031</v>
      </c>
      <c r="C460" s="7">
        <v>330</v>
      </c>
      <c r="D460" s="8" t="s">
        <v>3032</v>
      </c>
      <c r="E460" s="8" t="s">
        <v>3033</v>
      </c>
      <c r="F460" s="8" t="s">
        <v>3034</v>
      </c>
      <c r="G460" s="6" t="s">
        <v>52</v>
      </c>
      <c r="H460" s="6" t="s">
        <v>98</v>
      </c>
      <c r="I460" s="8" t="s">
        <v>165</v>
      </c>
      <c r="J460" s="9">
        <v>1</v>
      </c>
      <c r="K460" s="9">
        <v>60</v>
      </c>
      <c r="L460" s="9">
        <v>2022</v>
      </c>
      <c r="M460" s="8" t="s">
        <v>3035</v>
      </c>
      <c r="N460" s="8" t="s">
        <v>56</v>
      </c>
      <c r="O460" s="8" t="s">
        <v>57</v>
      </c>
      <c r="P460" s="6" t="s">
        <v>42</v>
      </c>
      <c r="Q460" s="8" t="s">
        <v>43</v>
      </c>
      <c r="R460" s="10" t="s">
        <v>1053</v>
      </c>
      <c r="S460" s="11"/>
      <c r="T460" s="6"/>
      <c r="U460" s="27" t="str">
        <f>HYPERLINK("https://media.infra-m.ru/1946/1946512/cover/1946512.jpg", "Обложка")</f>
        <v>Обложка</v>
      </c>
      <c r="V460" s="27" t="str">
        <f>HYPERLINK("https://znanium.com/catalog/product/1946512", "Ознакомиться")</f>
        <v>Ознакомиться</v>
      </c>
      <c r="W460" s="8"/>
      <c r="X460" s="6"/>
      <c r="Y460" s="6"/>
      <c r="Z460" s="6"/>
      <c r="AA460" s="6" t="s">
        <v>84</v>
      </c>
    </row>
    <row r="461" spans="1:27" s="4" customFormat="1" ht="51.95" customHeight="1">
      <c r="A461" s="5">
        <v>0</v>
      </c>
      <c r="B461" s="6" t="s">
        <v>3036</v>
      </c>
      <c r="C461" s="13">
        <v>1184</v>
      </c>
      <c r="D461" s="8" t="s">
        <v>3037</v>
      </c>
      <c r="E461" s="8" t="s">
        <v>3038</v>
      </c>
      <c r="F461" s="8" t="s">
        <v>3039</v>
      </c>
      <c r="G461" s="6" t="s">
        <v>37</v>
      </c>
      <c r="H461" s="6" t="s">
        <v>53</v>
      </c>
      <c r="I461" s="8" t="s">
        <v>165</v>
      </c>
      <c r="J461" s="9">
        <v>1</v>
      </c>
      <c r="K461" s="9">
        <v>261</v>
      </c>
      <c r="L461" s="9">
        <v>2023</v>
      </c>
      <c r="M461" s="8" t="s">
        <v>3040</v>
      </c>
      <c r="N461" s="8" t="s">
        <v>56</v>
      </c>
      <c r="O461" s="8" t="s">
        <v>57</v>
      </c>
      <c r="P461" s="6" t="s">
        <v>42</v>
      </c>
      <c r="Q461" s="8" t="s">
        <v>43</v>
      </c>
      <c r="R461" s="10" t="s">
        <v>480</v>
      </c>
      <c r="S461" s="11" t="s">
        <v>3041</v>
      </c>
      <c r="T461" s="6"/>
      <c r="U461" s="27" t="str">
        <f>HYPERLINK("https://media.infra-m.ru/2006/2006092/cover/2006092.jpg", "Обложка")</f>
        <v>Обложка</v>
      </c>
      <c r="V461" s="27" t="str">
        <f>HYPERLINK("https://znanium.com/catalog/product/968235", "Ознакомиться")</f>
        <v>Ознакомиться</v>
      </c>
      <c r="W461" s="8" t="s">
        <v>3042</v>
      </c>
      <c r="X461" s="6"/>
      <c r="Y461" s="6"/>
      <c r="Z461" s="6"/>
      <c r="AA461" s="6" t="s">
        <v>510</v>
      </c>
    </row>
    <row r="462" spans="1:27" s="4" customFormat="1" ht="51.95" customHeight="1">
      <c r="A462" s="5">
        <v>0</v>
      </c>
      <c r="B462" s="6" t="s">
        <v>3043</v>
      </c>
      <c r="C462" s="13">
        <v>1264</v>
      </c>
      <c r="D462" s="8" t="s">
        <v>3044</v>
      </c>
      <c r="E462" s="8" t="s">
        <v>3045</v>
      </c>
      <c r="F462" s="8" t="s">
        <v>2197</v>
      </c>
      <c r="G462" s="6" t="s">
        <v>37</v>
      </c>
      <c r="H462" s="6" t="s">
        <v>38</v>
      </c>
      <c r="I462" s="8"/>
      <c r="J462" s="9">
        <v>1</v>
      </c>
      <c r="K462" s="9">
        <v>280</v>
      </c>
      <c r="L462" s="9">
        <v>2023</v>
      </c>
      <c r="M462" s="8" t="s">
        <v>3046</v>
      </c>
      <c r="N462" s="8" t="s">
        <v>56</v>
      </c>
      <c r="O462" s="8" t="s">
        <v>57</v>
      </c>
      <c r="P462" s="6" t="s">
        <v>42</v>
      </c>
      <c r="Q462" s="8" t="s">
        <v>43</v>
      </c>
      <c r="R462" s="10" t="s">
        <v>3047</v>
      </c>
      <c r="S462" s="11" t="s">
        <v>3048</v>
      </c>
      <c r="T462" s="6"/>
      <c r="U462" s="27" t="str">
        <f>HYPERLINK("https://media.infra-m.ru/1856/1856556/cover/1856556.jpg", "Обложка")</f>
        <v>Обложка</v>
      </c>
      <c r="V462" s="27" t="str">
        <f>HYPERLINK("https://znanium.com/catalog/product/1240712", "Ознакомиться")</f>
        <v>Ознакомиться</v>
      </c>
      <c r="W462" s="8" t="s">
        <v>2200</v>
      </c>
      <c r="X462" s="6"/>
      <c r="Y462" s="6"/>
      <c r="Z462" s="6"/>
      <c r="AA462" s="6" t="s">
        <v>84</v>
      </c>
    </row>
    <row r="463" spans="1:27" s="4" customFormat="1" ht="42" customHeight="1">
      <c r="A463" s="5">
        <v>0</v>
      </c>
      <c r="B463" s="6" t="s">
        <v>3049</v>
      </c>
      <c r="C463" s="13">
        <v>1540</v>
      </c>
      <c r="D463" s="8" t="s">
        <v>3050</v>
      </c>
      <c r="E463" s="8" t="s">
        <v>3051</v>
      </c>
      <c r="F463" s="8" t="s">
        <v>3052</v>
      </c>
      <c r="G463" s="6" t="s">
        <v>37</v>
      </c>
      <c r="H463" s="6" t="s">
        <v>53</v>
      </c>
      <c r="I463" s="8" t="s">
        <v>54</v>
      </c>
      <c r="J463" s="9">
        <v>1</v>
      </c>
      <c r="K463" s="9">
        <v>326</v>
      </c>
      <c r="L463" s="9">
        <v>2023</v>
      </c>
      <c r="M463" s="8" t="s">
        <v>3053</v>
      </c>
      <c r="N463" s="8" t="s">
        <v>56</v>
      </c>
      <c r="O463" s="8" t="s">
        <v>57</v>
      </c>
      <c r="P463" s="6" t="s">
        <v>42</v>
      </c>
      <c r="Q463" s="8" t="s">
        <v>43</v>
      </c>
      <c r="R463" s="10" t="s">
        <v>2868</v>
      </c>
      <c r="S463" s="11"/>
      <c r="T463" s="6"/>
      <c r="U463" s="27" t="str">
        <f>HYPERLINK("https://media.infra-m.ru/1487/1487718/cover/1487718.jpg", "Обложка")</f>
        <v>Обложка</v>
      </c>
      <c r="V463" s="27" t="str">
        <f>HYPERLINK("https://znanium.com/catalog/product/1487718", "Ознакомиться")</f>
        <v>Ознакомиться</v>
      </c>
      <c r="W463" s="8" t="s">
        <v>3009</v>
      </c>
      <c r="X463" s="6" t="s">
        <v>1343</v>
      </c>
      <c r="Y463" s="6"/>
      <c r="Z463" s="6"/>
      <c r="AA463" s="6" t="s">
        <v>93</v>
      </c>
    </row>
    <row r="464" spans="1:27" s="4" customFormat="1" ht="51.95" customHeight="1">
      <c r="A464" s="5">
        <v>0</v>
      </c>
      <c r="B464" s="6" t="s">
        <v>3054</v>
      </c>
      <c r="C464" s="13">
        <v>2010</v>
      </c>
      <c r="D464" s="8" t="s">
        <v>3055</v>
      </c>
      <c r="E464" s="8" t="s">
        <v>3056</v>
      </c>
      <c r="F464" s="8" t="s">
        <v>3057</v>
      </c>
      <c r="G464" s="6" t="s">
        <v>37</v>
      </c>
      <c r="H464" s="6" t="s">
        <v>53</v>
      </c>
      <c r="I464" s="8" t="s">
        <v>54</v>
      </c>
      <c r="J464" s="9">
        <v>1</v>
      </c>
      <c r="K464" s="9">
        <v>440</v>
      </c>
      <c r="L464" s="9">
        <v>2024</v>
      </c>
      <c r="M464" s="8" t="s">
        <v>3058</v>
      </c>
      <c r="N464" s="8" t="s">
        <v>56</v>
      </c>
      <c r="O464" s="8" t="s">
        <v>57</v>
      </c>
      <c r="P464" s="6" t="s">
        <v>69</v>
      </c>
      <c r="Q464" s="8" t="s">
        <v>43</v>
      </c>
      <c r="R464" s="10" t="s">
        <v>3059</v>
      </c>
      <c r="S464" s="11" t="s">
        <v>3060</v>
      </c>
      <c r="T464" s="6" t="s">
        <v>277</v>
      </c>
      <c r="U464" s="27" t="str">
        <f>HYPERLINK("https://media.infra-m.ru/2073/2073489/cover/2073489.jpg", "Обложка")</f>
        <v>Обложка</v>
      </c>
      <c r="V464" s="27" t="str">
        <f>HYPERLINK("https://znanium.com/catalog/product/2073489", "Ознакомиться")</f>
        <v>Ознакомиться</v>
      </c>
      <c r="W464" s="8" t="s">
        <v>134</v>
      </c>
      <c r="X464" s="6"/>
      <c r="Y464" s="6"/>
      <c r="Z464" s="6"/>
      <c r="AA464" s="6" t="s">
        <v>1082</v>
      </c>
    </row>
    <row r="465" spans="1:27" s="4" customFormat="1" ht="51.95" customHeight="1">
      <c r="A465" s="5">
        <v>0</v>
      </c>
      <c r="B465" s="6" t="s">
        <v>3061</v>
      </c>
      <c r="C465" s="13">
        <v>1620</v>
      </c>
      <c r="D465" s="8" t="s">
        <v>3062</v>
      </c>
      <c r="E465" s="8" t="s">
        <v>3063</v>
      </c>
      <c r="F465" s="8" t="s">
        <v>2973</v>
      </c>
      <c r="G465" s="6" t="s">
        <v>67</v>
      </c>
      <c r="H465" s="6" t="s">
        <v>53</v>
      </c>
      <c r="I465" s="8" t="s">
        <v>54</v>
      </c>
      <c r="J465" s="9">
        <v>1</v>
      </c>
      <c r="K465" s="9">
        <v>352</v>
      </c>
      <c r="L465" s="9">
        <v>2024</v>
      </c>
      <c r="M465" s="8" t="s">
        <v>3064</v>
      </c>
      <c r="N465" s="8" t="s">
        <v>56</v>
      </c>
      <c r="O465" s="8" t="s">
        <v>57</v>
      </c>
      <c r="P465" s="6" t="s">
        <v>42</v>
      </c>
      <c r="Q465" s="8" t="s">
        <v>58</v>
      </c>
      <c r="R465" s="10" t="s">
        <v>3065</v>
      </c>
      <c r="S465" s="11" t="s">
        <v>3066</v>
      </c>
      <c r="T465" s="6"/>
      <c r="U465" s="27" t="str">
        <f>HYPERLINK("https://media.infra-m.ru/2113/2113856/cover/2113856.jpg", "Обложка")</f>
        <v>Обложка</v>
      </c>
      <c r="V465" s="27" t="str">
        <f>HYPERLINK("https://znanium.com/catalog/product/2113856", "Ознакомиться")</f>
        <v>Ознакомиться</v>
      </c>
      <c r="W465" s="8"/>
      <c r="X465" s="6"/>
      <c r="Y465" s="6"/>
      <c r="Z465" s="6"/>
      <c r="AA465" s="6" t="s">
        <v>1813</v>
      </c>
    </row>
    <row r="466" spans="1:27" s="4" customFormat="1" ht="51.95" customHeight="1">
      <c r="A466" s="5">
        <v>0</v>
      </c>
      <c r="B466" s="6" t="s">
        <v>3067</v>
      </c>
      <c r="C466" s="13">
        <v>1140</v>
      </c>
      <c r="D466" s="8" t="s">
        <v>3068</v>
      </c>
      <c r="E466" s="8" t="s">
        <v>3069</v>
      </c>
      <c r="F466" s="8" t="s">
        <v>3070</v>
      </c>
      <c r="G466" s="6" t="s">
        <v>67</v>
      </c>
      <c r="H466" s="6" t="s">
        <v>53</v>
      </c>
      <c r="I466" s="8" t="s">
        <v>54</v>
      </c>
      <c r="J466" s="9">
        <v>1</v>
      </c>
      <c r="K466" s="9">
        <v>248</v>
      </c>
      <c r="L466" s="9">
        <v>2024</v>
      </c>
      <c r="M466" s="8" t="s">
        <v>3071</v>
      </c>
      <c r="N466" s="8" t="s">
        <v>56</v>
      </c>
      <c r="O466" s="8" t="s">
        <v>57</v>
      </c>
      <c r="P466" s="6" t="s">
        <v>42</v>
      </c>
      <c r="Q466" s="8" t="s">
        <v>43</v>
      </c>
      <c r="R466" s="10" t="s">
        <v>3072</v>
      </c>
      <c r="S466" s="11" t="s">
        <v>3073</v>
      </c>
      <c r="T466" s="6"/>
      <c r="U466" s="27" t="str">
        <f>HYPERLINK("https://media.infra-m.ru/2036/2036547/cover/2036547.jpg", "Обложка")</f>
        <v>Обложка</v>
      </c>
      <c r="V466" s="12"/>
      <c r="W466" s="8" t="s">
        <v>3074</v>
      </c>
      <c r="X466" s="6"/>
      <c r="Y466" s="6"/>
      <c r="Z466" s="6"/>
      <c r="AA466" s="6" t="s">
        <v>1335</v>
      </c>
    </row>
    <row r="467" spans="1:27" s="4" customFormat="1" ht="51.95" customHeight="1">
      <c r="A467" s="5">
        <v>0</v>
      </c>
      <c r="B467" s="6" t="s">
        <v>3075</v>
      </c>
      <c r="C467" s="7">
        <v>864.9</v>
      </c>
      <c r="D467" s="8" t="s">
        <v>3076</v>
      </c>
      <c r="E467" s="8" t="s">
        <v>3077</v>
      </c>
      <c r="F467" s="8" t="s">
        <v>3078</v>
      </c>
      <c r="G467" s="6" t="s">
        <v>37</v>
      </c>
      <c r="H467" s="6" t="s">
        <v>53</v>
      </c>
      <c r="I467" s="8" t="s">
        <v>148</v>
      </c>
      <c r="J467" s="9">
        <v>1</v>
      </c>
      <c r="K467" s="9">
        <v>192</v>
      </c>
      <c r="L467" s="9">
        <v>2023</v>
      </c>
      <c r="M467" s="8" t="s">
        <v>3079</v>
      </c>
      <c r="N467" s="8" t="s">
        <v>56</v>
      </c>
      <c r="O467" s="8" t="s">
        <v>57</v>
      </c>
      <c r="P467" s="6" t="s">
        <v>69</v>
      </c>
      <c r="Q467" s="8" t="s">
        <v>150</v>
      </c>
      <c r="R467" s="10" t="s">
        <v>2394</v>
      </c>
      <c r="S467" s="11" t="s">
        <v>3080</v>
      </c>
      <c r="T467" s="6"/>
      <c r="U467" s="27" t="str">
        <f>HYPERLINK("https://media.infra-m.ru/2036/2036447/cover/2036447.jpg", "Обложка")</f>
        <v>Обложка</v>
      </c>
      <c r="V467" s="27" t="str">
        <f>HYPERLINK("https://znanium.com/catalog/product/1078233", "Ознакомиться")</f>
        <v>Ознакомиться</v>
      </c>
      <c r="W467" s="8" t="s">
        <v>1155</v>
      </c>
      <c r="X467" s="6"/>
      <c r="Y467" s="6"/>
      <c r="Z467" s="6"/>
      <c r="AA467" s="6" t="s">
        <v>601</v>
      </c>
    </row>
    <row r="468" spans="1:27" s="4" customFormat="1" ht="51.95" customHeight="1">
      <c r="A468" s="5">
        <v>0</v>
      </c>
      <c r="B468" s="6" t="s">
        <v>3081</v>
      </c>
      <c r="C468" s="13">
        <v>1364</v>
      </c>
      <c r="D468" s="8" t="s">
        <v>3082</v>
      </c>
      <c r="E468" s="8" t="s">
        <v>3083</v>
      </c>
      <c r="F468" s="8" t="s">
        <v>1361</v>
      </c>
      <c r="G468" s="6" t="s">
        <v>37</v>
      </c>
      <c r="H468" s="6" t="s">
        <v>53</v>
      </c>
      <c r="I468" s="8" t="s">
        <v>165</v>
      </c>
      <c r="J468" s="9">
        <v>1</v>
      </c>
      <c r="K468" s="9">
        <v>302</v>
      </c>
      <c r="L468" s="9">
        <v>2023</v>
      </c>
      <c r="M468" s="8" t="s">
        <v>3084</v>
      </c>
      <c r="N468" s="8" t="s">
        <v>56</v>
      </c>
      <c r="O468" s="8" t="s">
        <v>57</v>
      </c>
      <c r="P468" s="6" t="s">
        <v>69</v>
      </c>
      <c r="Q468" s="8" t="s">
        <v>43</v>
      </c>
      <c r="R468" s="10" t="s">
        <v>2490</v>
      </c>
      <c r="S468" s="11" t="s">
        <v>3085</v>
      </c>
      <c r="T468" s="6"/>
      <c r="U468" s="27" t="str">
        <f>HYPERLINK("https://media.infra-m.ru/2021/2021474/cover/2021474.jpg", "Обложка")</f>
        <v>Обложка</v>
      </c>
      <c r="V468" s="27" t="str">
        <f>HYPERLINK("https://znanium.com/catalog/product/1009600", "Ознакомиться")</f>
        <v>Ознакомиться</v>
      </c>
      <c r="W468" s="8" t="s">
        <v>1364</v>
      </c>
      <c r="X468" s="6"/>
      <c r="Y468" s="6"/>
      <c r="Z468" s="6"/>
      <c r="AA468" s="6" t="s">
        <v>510</v>
      </c>
    </row>
    <row r="469" spans="1:27" s="4" customFormat="1" ht="51.95" customHeight="1">
      <c r="A469" s="5">
        <v>0</v>
      </c>
      <c r="B469" s="6" t="s">
        <v>3086</v>
      </c>
      <c r="C469" s="13">
        <v>1030</v>
      </c>
      <c r="D469" s="8" t="s">
        <v>3087</v>
      </c>
      <c r="E469" s="8" t="s">
        <v>3088</v>
      </c>
      <c r="F469" s="8" t="s">
        <v>3089</v>
      </c>
      <c r="G469" s="6" t="s">
        <v>67</v>
      </c>
      <c r="H469" s="6" t="s">
        <v>53</v>
      </c>
      <c r="I469" s="8" t="s">
        <v>220</v>
      </c>
      <c r="J469" s="9">
        <v>1</v>
      </c>
      <c r="K469" s="9">
        <v>228</v>
      </c>
      <c r="L469" s="9">
        <v>2023</v>
      </c>
      <c r="M469" s="8" t="s">
        <v>3090</v>
      </c>
      <c r="N469" s="8" t="s">
        <v>56</v>
      </c>
      <c r="O469" s="8" t="s">
        <v>57</v>
      </c>
      <c r="P469" s="6" t="s">
        <v>42</v>
      </c>
      <c r="Q469" s="8" t="s">
        <v>222</v>
      </c>
      <c r="R469" s="10" t="s">
        <v>3091</v>
      </c>
      <c r="S469" s="11" t="s">
        <v>3092</v>
      </c>
      <c r="T469" s="6"/>
      <c r="U469" s="27" t="str">
        <f>HYPERLINK("https://media.infra-m.ru/2021/2021459/cover/2021459.jpg", "Обложка")</f>
        <v>Обложка</v>
      </c>
      <c r="V469" s="27" t="str">
        <f>HYPERLINK("https://znanium.com/catalog/product/2021459", "Ознакомиться")</f>
        <v>Ознакомиться</v>
      </c>
      <c r="W469" s="8" t="s">
        <v>3093</v>
      </c>
      <c r="X469" s="6"/>
      <c r="Y469" s="6"/>
      <c r="Z469" s="6"/>
      <c r="AA469" s="6" t="s">
        <v>510</v>
      </c>
    </row>
    <row r="470" spans="1:27" s="4" customFormat="1" ht="51.95" customHeight="1">
      <c r="A470" s="5">
        <v>0</v>
      </c>
      <c r="B470" s="6" t="s">
        <v>3094</v>
      </c>
      <c r="C470" s="7">
        <v>494.9</v>
      </c>
      <c r="D470" s="8" t="s">
        <v>3095</v>
      </c>
      <c r="E470" s="8" t="s">
        <v>3096</v>
      </c>
      <c r="F470" s="8" t="s">
        <v>3097</v>
      </c>
      <c r="G470" s="6" t="s">
        <v>52</v>
      </c>
      <c r="H470" s="6" t="s">
        <v>53</v>
      </c>
      <c r="I470" s="8" t="s">
        <v>165</v>
      </c>
      <c r="J470" s="9">
        <v>1</v>
      </c>
      <c r="K470" s="9">
        <v>166</v>
      </c>
      <c r="L470" s="9">
        <v>2019</v>
      </c>
      <c r="M470" s="8" t="s">
        <v>3098</v>
      </c>
      <c r="N470" s="8" t="s">
        <v>56</v>
      </c>
      <c r="O470" s="8" t="s">
        <v>57</v>
      </c>
      <c r="P470" s="6" t="s">
        <v>42</v>
      </c>
      <c r="Q470" s="8" t="s">
        <v>43</v>
      </c>
      <c r="R470" s="10" t="s">
        <v>3099</v>
      </c>
      <c r="S470" s="11" t="s">
        <v>3100</v>
      </c>
      <c r="T470" s="6" t="s">
        <v>277</v>
      </c>
      <c r="U470" s="27" t="str">
        <f>HYPERLINK("https://media.infra-m.ru/1019/1019766/cover/1019766.jpg", "Обложка")</f>
        <v>Обложка</v>
      </c>
      <c r="V470" s="27" t="str">
        <f>HYPERLINK("https://znanium.com/catalog/product/1361805", "Ознакомиться")</f>
        <v>Ознакомиться</v>
      </c>
      <c r="W470" s="8" t="s">
        <v>61</v>
      </c>
      <c r="X470" s="6"/>
      <c r="Y470" s="6"/>
      <c r="Z470" s="6"/>
      <c r="AA470" s="6" t="s">
        <v>47</v>
      </c>
    </row>
    <row r="471" spans="1:27" s="4" customFormat="1" ht="51.95" customHeight="1">
      <c r="A471" s="5">
        <v>0</v>
      </c>
      <c r="B471" s="6" t="s">
        <v>3101</v>
      </c>
      <c r="C471" s="13">
        <v>2550</v>
      </c>
      <c r="D471" s="8" t="s">
        <v>3102</v>
      </c>
      <c r="E471" s="8" t="s">
        <v>3103</v>
      </c>
      <c r="F471" s="8" t="s">
        <v>3104</v>
      </c>
      <c r="G471" s="6" t="s">
        <v>67</v>
      </c>
      <c r="H471" s="6" t="s">
        <v>53</v>
      </c>
      <c r="I471" s="8" t="s">
        <v>165</v>
      </c>
      <c r="J471" s="9">
        <v>1</v>
      </c>
      <c r="K471" s="9">
        <v>566</v>
      </c>
      <c r="L471" s="9">
        <v>2023</v>
      </c>
      <c r="M471" s="8" t="s">
        <v>3105</v>
      </c>
      <c r="N471" s="8" t="s">
        <v>3106</v>
      </c>
      <c r="O471" s="8" t="s">
        <v>3107</v>
      </c>
      <c r="P471" s="6" t="s">
        <v>69</v>
      </c>
      <c r="Q471" s="8" t="s">
        <v>43</v>
      </c>
      <c r="R471" s="10" t="s">
        <v>3108</v>
      </c>
      <c r="S471" s="11" t="s">
        <v>3109</v>
      </c>
      <c r="T471" s="6" t="s">
        <v>277</v>
      </c>
      <c r="U471" s="27" t="str">
        <f>HYPERLINK("https://media.infra-m.ru/1913/1913862/cover/1913862.jpg", "Обложка")</f>
        <v>Обложка</v>
      </c>
      <c r="V471" s="27" t="str">
        <f>HYPERLINK("https://znanium.com/catalog/product/1913862", "Ознакомиться")</f>
        <v>Ознакомиться</v>
      </c>
      <c r="W471" s="8" t="s">
        <v>3110</v>
      </c>
      <c r="X471" s="6"/>
      <c r="Y471" s="6"/>
      <c r="Z471" s="6"/>
      <c r="AA471" s="6" t="s">
        <v>288</v>
      </c>
    </row>
    <row r="472" spans="1:27" s="4" customFormat="1" ht="42" customHeight="1">
      <c r="A472" s="5">
        <v>0</v>
      </c>
      <c r="B472" s="6" t="s">
        <v>3111</v>
      </c>
      <c r="C472" s="7">
        <v>690</v>
      </c>
      <c r="D472" s="8" t="s">
        <v>3112</v>
      </c>
      <c r="E472" s="8" t="s">
        <v>3113</v>
      </c>
      <c r="F472" s="8" t="s">
        <v>2138</v>
      </c>
      <c r="G472" s="6" t="s">
        <v>52</v>
      </c>
      <c r="H472" s="6" t="s">
        <v>53</v>
      </c>
      <c r="I472" s="8" t="s">
        <v>114</v>
      </c>
      <c r="J472" s="9">
        <v>1</v>
      </c>
      <c r="K472" s="9">
        <v>148</v>
      </c>
      <c r="L472" s="9">
        <v>2024</v>
      </c>
      <c r="M472" s="8" t="s">
        <v>3114</v>
      </c>
      <c r="N472" s="8" t="s">
        <v>56</v>
      </c>
      <c r="O472" s="8" t="s">
        <v>57</v>
      </c>
      <c r="P472" s="6" t="s">
        <v>116</v>
      </c>
      <c r="Q472" s="8" t="s">
        <v>81</v>
      </c>
      <c r="R472" s="10" t="s">
        <v>132</v>
      </c>
      <c r="S472" s="11"/>
      <c r="T472" s="6"/>
      <c r="U472" s="27" t="str">
        <f>HYPERLINK("https://media.infra-m.ru/2110/2110040/cover/2110040.jpg", "Обложка")</f>
        <v>Обложка</v>
      </c>
      <c r="V472" s="27" t="str">
        <f>HYPERLINK("https://znanium.com/catalog/product/2110040", "Ознакомиться")</f>
        <v>Ознакомиться</v>
      </c>
      <c r="W472" s="8" t="s">
        <v>287</v>
      </c>
      <c r="X472" s="6"/>
      <c r="Y472" s="6"/>
      <c r="Z472" s="6"/>
      <c r="AA472" s="6" t="s">
        <v>47</v>
      </c>
    </row>
    <row r="473" spans="1:27" s="4" customFormat="1" ht="51.95" customHeight="1">
      <c r="A473" s="5">
        <v>0</v>
      </c>
      <c r="B473" s="6" t="s">
        <v>3115</v>
      </c>
      <c r="C473" s="13">
        <v>1180</v>
      </c>
      <c r="D473" s="8" t="s">
        <v>3116</v>
      </c>
      <c r="E473" s="8" t="s">
        <v>3117</v>
      </c>
      <c r="F473" s="8" t="s">
        <v>3118</v>
      </c>
      <c r="G473" s="6" t="s">
        <v>67</v>
      </c>
      <c r="H473" s="6" t="s">
        <v>53</v>
      </c>
      <c r="I473" s="8" t="s">
        <v>78</v>
      </c>
      <c r="J473" s="9">
        <v>1</v>
      </c>
      <c r="K473" s="9">
        <v>255</v>
      </c>
      <c r="L473" s="9">
        <v>2024</v>
      </c>
      <c r="M473" s="8" t="s">
        <v>3119</v>
      </c>
      <c r="N473" s="8" t="s">
        <v>56</v>
      </c>
      <c r="O473" s="8" t="s">
        <v>57</v>
      </c>
      <c r="P473" s="6" t="s">
        <v>80</v>
      </c>
      <c r="Q473" s="8" t="s">
        <v>81</v>
      </c>
      <c r="R473" s="10" t="s">
        <v>3120</v>
      </c>
      <c r="S473" s="11"/>
      <c r="T473" s="6" t="s">
        <v>277</v>
      </c>
      <c r="U473" s="27" t="str">
        <f>HYPERLINK("https://media.infra-m.ru/1995/1995307/cover/1995307.jpg", "Обложка")</f>
        <v>Обложка</v>
      </c>
      <c r="V473" s="27" t="str">
        <f>HYPERLINK("https://znanium.com/catalog/product/1995307", "Ознакомиться")</f>
        <v>Ознакомиться</v>
      </c>
      <c r="W473" s="8" t="s">
        <v>307</v>
      </c>
      <c r="X473" s="6"/>
      <c r="Y473" s="6"/>
      <c r="Z473" s="6"/>
      <c r="AA473" s="6" t="s">
        <v>208</v>
      </c>
    </row>
    <row r="474" spans="1:27" s="4" customFormat="1" ht="51.95" customHeight="1">
      <c r="A474" s="5">
        <v>0</v>
      </c>
      <c r="B474" s="6" t="s">
        <v>3121</v>
      </c>
      <c r="C474" s="7">
        <v>934.9</v>
      </c>
      <c r="D474" s="8" t="s">
        <v>3122</v>
      </c>
      <c r="E474" s="8" t="s">
        <v>3123</v>
      </c>
      <c r="F474" s="8" t="s">
        <v>3124</v>
      </c>
      <c r="G474" s="6" t="s">
        <v>52</v>
      </c>
      <c r="H474" s="6" t="s">
        <v>385</v>
      </c>
      <c r="I474" s="8"/>
      <c r="J474" s="9">
        <v>1</v>
      </c>
      <c r="K474" s="9">
        <v>208</v>
      </c>
      <c r="L474" s="9">
        <v>2023</v>
      </c>
      <c r="M474" s="8" t="s">
        <v>3125</v>
      </c>
      <c r="N474" s="8" t="s">
        <v>56</v>
      </c>
      <c r="O474" s="8" t="s">
        <v>57</v>
      </c>
      <c r="P474" s="6" t="s">
        <v>116</v>
      </c>
      <c r="Q474" s="8" t="s">
        <v>785</v>
      </c>
      <c r="R474" s="10" t="s">
        <v>3126</v>
      </c>
      <c r="S474" s="11"/>
      <c r="T474" s="6"/>
      <c r="U474" s="27" t="str">
        <f>HYPERLINK("https://media.infra-m.ru/1913/1913694/cover/1913694.jpg", "Обложка")</f>
        <v>Обложка</v>
      </c>
      <c r="V474" s="27" t="str">
        <f>HYPERLINK("https://znanium.com/catalog/product/1002564", "Ознакомиться")</f>
        <v>Ознакомиться</v>
      </c>
      <c r="W474" s="8" t="s">
        <v>3127</v>
      </c>
      <c r="X474" s="6"/>
      <c r="Y474" s="6"/>
      <c r="Z474" s="6"/>
      <c r="AA474" s="6" t="s">
        <v>84</v>
      </c>
    </row>
    <row r="475" spans="1:27" s="4" customFormat="1" ht="51.95" customHeight="1">
      <c r="A475" s="5">
        <v>0</v>
      </c>
      <c r="B475" s="6" t="s">
        <v>3128</v>
      </c>
      <c r="C475" s="7">
        <v>800</v>
      </c>
      <c r="D475" s="8" t="s">
        <v>3129</v>
      </c>
      <c r="E475" s="8" t="s">
        <v>3130</v>
      </c>
      <c r="F475" s="8" t="s">
        <v>3131</v>
      </c>
      <c r="G475" s="6" t="s">
        <v>67</v>
      </c>
      <c r="H475" s="6" t="s">
        <v>53</v>
      </c>
      <c r="I475" s="8" t="s">
        <v>400</v>
      </c>
      <c r="J475" s="9">
        <v>1</v>
      </c>
      <c r="K475" s="9">
        <v>171</v>
      </c>
      <c r="L475" s="9">
        <v>2023</v>
      </c>
      <c r="M475" s="8" t="s">
        <v>3132</v>
      </c>
      <c r="N475" s="8" t="s">
        <v>56</v>
      </c>
      <c r="O475" s="8" t="s">
        <v>57</v>
      </c>
      <c r="P475" s="6" t="s">
        <v>42</v>
      </c>
      <c r="Q475" s="8" t="s">
        <v>150</v>
      </c>
      <c r="R475" s="10" t="s">
        <v>3133</v>
      </c>
      <c r="S475" s="11" t="s">
        <v>3134</v>
      </c>
      <c r="T475" s="6" t="s">
        <v>277</v>
      </c>
      <c r="U475" s="27" t="str">
        <f>HYPERLINK("https://media.infra-m.ru/1907/1907026/cover/1907026.jpg", "Обложка")</f>
        <v>Обложка</v>
      </c>
      <c r="V475" s="27" t="str">
        <f>HYPERLINK("https://znanium.com/catalog/product/1907026", "Ознакомиться")</f>
        <v>Ознакомиться</v>
      </c>
      <c r="W475" s="8" t="s">
        <v>72</v>
      </c>
      <c r="X475" s="6"/>
      <c r="Y475" s="6"/>
      <c r="Z475" s="6"/>
      <c r="AA475" s="6" t="s">
        <v>1335</v>
      </c>
    </row>
    <row r="476" spans="1:27" s="4" customFormat="1" ht="42" customHeight="1">
      <c r="A476" s="5">
        <v>0</v>
      </c>
      <c r="B476" s="6" t="s">
        <v>3135</v>
      </c>
      <c r="C476" s="7">
        <v>694.9</v>
      </c>
      <c r="D476" s="8" t="s">
        <v>3136</v>
      </c>
      <c r="E476" s="8" t="s">
        <v>3137</v>
      </c>
      <c r="F476" s="8" t="s">
        <v>3138</v>
      </c>
      <c r="G476" s="6" t="s">
        <v>37</v>
      </c>
      <c r="H476" s="6" t="s">
        <v>53</v>
      </c>
      <c r="I476" s="8" t="s">
        <v>114</v>
      </c>
      <c r="J476" s="9">
        <v>1</v>
      </c>
      <c r="K476" s="9">
        <v>225</v>
      </c>
      <c r="L476" s="9">
        <v>2018</v>
      </c>
      <c r="M476" s="8" t="s">
        <v>3139</v>
      </c>
      <c r="N476" s="8" t="s">
        <v>56</v>
      </c>
      <c r="O476" s="8" t="s">
        <v>57</v>
      </c>
      <c r="P476" s="6" t="s">
        <v>116</v>
      </c>
      <c r="Q476" s="8" t="s">
        <v>81</v>
      </c>
      <c r="R476" s="10" t="s">
        <v>3140</v>
      </c>
      <c r="S476" s="11"/>
      <c r="T476" s="6"/>
      <c r="U476" s="27" t="str">
        <f>HYPERLINK("https://media.infra-m.ru/0926/0926718/cover/926718.jpg", "Обложка")</f>
        <v>Обложка</v>
      </c>
      <c r="V476" s="27" t="str">
        <f>HYPERLINK("https://znanium.com/catalog/product/926718", "Ознакомиться")</f>
        <v>Ознакомиться</v>
      </c>
      <c r="W476" s="8" t="s">
        <v>307</v>
      </c>
      <c r="X476" s="6"/>
      <c r="Y476" s="6"/>
      <c r="Z476" s="6"/>
      <c r="AA476" s="6" t="s">
        <v>253</v>
      </c>
    </row>
    <row r="477" spans="1:27" s="4" customFormat="1" ht="51.95" customHeight="1">
      <c r="A477" s="5">
        <v>0</v>
      </c>
      <c r="B477" s="6" t="s">
        <v>3141</v>
      </c>
      <c r="C477" s="7">
        <v>884.9</v>
      </c>
      <c r="D477" s="8" t="s">
        <v>3142</v>
      </c>
      <c r="E477" s="8" t="s">
        <v>3143</v>
      </c>
      <c r="F477" s="8" t="s">
        <v>3144</v>
      </c>
      <c r="G477" s="6" t="s">
        <v>37</v>
      </c>
      <c r="H477" s="6" t="s">
        <v>867</v>
      </c>
      <c r="I477" s="8" t="s">
        <v>54</v>
      </c>
      <c r="J477" s="9">
        <v>1</v>
      </c>
      <c r="K477" s="9">
        <v>304</v>
      </c>
      <c r="L477" s="9">
        <v>2018</v>
      </c>
      <c r="M477" s="8" t="s">
        <v>3145</v>
      </c>
      <c r="N477" s="8" t="s">
        <v>56</v>
      </c>
      <c r="O477" s="8" t="s">
        <v>57</v>
      </c>
      <c r="P477" s="6" t="s">
        <v>783</v>
      </c>
      <c r="Q477" s="8" t="s">
        <v>43</v>
      </c>
      <c r="R477" s="10" t="s">
        <v>3146</v>
      </c>
      <c r="S477" s="11" t="s">
        <v>3147</v>
      </c>
      <c r="T477" s="6"/>
      <c r="U477" s="27" t="str">
        <f>HYPERLINK("https://media.infra-m.ru/0911/0911341/cover/911341.jpg", "Обложка")</f>
        <v>Обложка</v>
      </c>
      <c r="V477" s="27" t="str">
        <f>HYPERLINK("https://znanium.com/catalog/product/1228817", "Ознакомиться")</f>
        <v>Ознакомиться</v>
      </c>
      <c r="W477" s="8" t="s">
        <v>287</v>
      </c>
      <c r="X477" s="6"/>
      <c r="Y477" s="6"/>
      <c r="Z477" s="6"/>
      <c r="AA477" s="6" t="s">
        <v>2473</v>
      </c>
    </row>
    <row r="478" spans="1:27" s="4" customFormat="1" ht="51.95" customHeight="1">
      <c r="A478" s="5">
        <v>0</v>
      </c>
      <c r="B478" s="6" t="s">
        <v>3148</v>
      </c>
      <c r="C478" s="13">
        <v>1100</v>
      </c>
      <c r="D478" s="8" t="s">
        <v>3149</v>
      </c>
      <c r="E478" s="8" t="s">
        <v>3150</v>
      </c>
      <c r="F478" s="8" t="s">
        <v>3151</v>
      </c>
      <c r="G478" s="6" t="s">
        <v>67</v>
      </c>
      <c r="H478" s="6" t="s">
        <v>53</v>
      </c>
      <c r="I478" s="8" t="s">
        <v>165</v>
      </c>
      <c r="J478" s="9">
        <v>1</v>
      </c>
      <c r="K478" s="9">
        <v>306</v>
      </c>
      <c r="L478" s="9">
        <v>2021</v>
      </c>
      <c r="M478" s="8" t="s">
        <v>3152</v>
      </c>
      <c r="N478" s="8" t="s">
        <v>56</v>
      </c>
      <c r="O478" s="8" t="s">
        <v>57</v>
      </c>
      <c r="P478" s="6" t="s">
        <v>783</v>
      </c>
      <c r="Q478" s="8" t="s">
        <v>43</v>
      </c>
      <c r="R478" s="10" t="s">
        <v>3146</v>
      </c>
      <c r="S478" s="11"/>
      <c r="T478" s="6"/>
      <c r="U478" s="27" t="str">
        <f>HYPERLINK("https://media.infra-m.ru/1228/1228817/cover/1228817.jpg", "Обложка")</f>
        <v>Обложка</v>
      </c>
      <c r="V478" s="27" t="str">
        <f>HYPERLINK("https://znanium.com/catalog/product/1228817", "Ознакомиться")</f>
        <v>Ознакомиться</v>
      </c>
      <c r="W478" s="8" t="s">
        <v>287</v>
      </c>
      <c r="X478" s="6"/>
      <c r="Y478" s="6"/>
      <c r="Z478" s="6"/>
      <c r="AA478" s="6" t="s">
        <v>1468</v>
      </c>
    </row>
    <row r="479" spans="1:27" s="4" customFormat="1" ht="51.95" customHeight="1">
      <c r="A479" s="5">
        <v>0</v>
      </c>
      <c r="B479" s="6" t="s">
        <v>3153</v>
      </c>
      <c r="C479" s="13">
        <v>1324.9</v>
      </c>
      <c r="D479" s="8" t="s">
        <v>3154</v>
      </c>
      <c r="E479" s="8" t="s">
        <v>3155</v>
      </c>
      <c r="F479" s="8" t="s">
        <v>3156</v>
      </c>
      <c r="G479" s="6" t="s">
        <v>37</v>
      </c>
      <c r="H479" s="6" t="s">
        <v>53</v>
      </c>
      <c r="I479" s="8" t="s">
        <v>165</v>
      </c>
      <c r="J479" s="9">
        <v>1</v>
      </c>
      <c r="K479" s="9">
        <v>590</v>
      </c>
      <c r="L479" s="9">
        <v>2018</v>
      </c>
      <c r="M479" s="8" t="s">
        <v>3157</v>
      </c>
      <c r="N479" s="8" t="s">
        <v>56</v>
      </c>
      <c r="O479" s="8" t="s">
        <v>57</v>
      </c>
      <c r="P479" s="6" t="s">
        <v>69</v>
      </c>
      <c r="Q479" s="8" t="s">
        <v>43</v>
      </c>
      <c r="R479" s="10" t="s">
        <v>3158</v>
      </c>
      <c r="S479" s="11" t="s">
        <v>3159</v>
      </c>
      <c r="T479" s="6"/>
      <c r="U479" s="27" t="str">
        <f>HYPERLINK("https://media.infra-m.ru/0944/0944320/cover/944320.jpg", "Обложка")</f>
        <v>Обложка</v>
      </c>
      <c r="V479" s="27" t="str">
        <f>HYPERLINK("https://znanium.com/catalog/product/1913252", "Ознакомиться")</f>
        <v>Ознакомиться</v>
      </c>
      <c r="W479" s="8" t="s">
        <v>287</v>
      </c>
      <c r="X479" s="6"/>
      <c r="Y479" s="6"/>
      <c r="Z479" s="6"/>
      <c r="AA479" s="6" t="s">
        <v>1371</v>
      </c>
    </row>
    <row r="480" spans="1:27" s="4" customFormat="1" ht="51.95" customHeight="1">
      <c r="A480" s="5">
        <v>0</v>
      </c>
      <c r="B480" s="6" t="s">
        <v>3160</v>
      </c>
      <c r="C480" s="13">
        <v>2040</v>
      </c>
      <c r="D480" s="8" t="s">
        <v>3161</v>
      </c>
      <c r="E480" s="8" t="s">
        <v>3162</v>
      </c>
      <c r="F480" s="8" t="s">
        <v>3156</v>
      </c>
      <c r="G480" s="6" t="s">
        <v>67</v>
      </c>
      <c r="H480" s="6" t="s">
        <v>53</v>
      </c>
      <c r="I480" s="8" t="s">
        <v>165</v>
      </c>
      <c r="J480" s="9">
        <v>1</v>
      </c>
      <c r="K480" s="9">
        <v>453</v>
      </c>
      <c r="L480" s="9">
        <v>2023</v>
      </c>
      <c r="M480" s="8" t="s">
        <v>3163</v>
      </c>
      <c r="N480" s="8" t="s">
        <v>56</v>
      </c>
      <c r="O480" s="8" t="s">
        <v>57</v>
      </c>
      <c r="P480" s="6" t="s">
        <v>69</v>
      </c>
      <c r="Q480" s="8" t="s">
        <v>43</v>
      </c>
      <c r="R480" s="10" t="s">
        <v>3158</v>
      </c>
      <c r="S480" s="11" t="s">
        <v>3164</v>
      </c>
      <c r="T480" s="6" t="s">
        <v>277</v>
      </c>
      <c r="U480" s="27" t="str">
        <f>HYPERLINK("https://media.infra-m.ru/1913/1913252/cover/1913252.jpg", "Обложка")</f>
        <v>Обложка</v>
      </c>
      <c r="V480" s="27" t="str">
        <f>HYPERLINK("https://znanium.com/catalog/product/1913252", "Ознакомиться")</f>
        <v>Ознакомиться</v>
      </c>
      <c r="W480" s="8" t="s">
        <v>287</v>
      </c>
      <c r="X480" s="6"/>
      <c r="Y480" s="6"/>
      <c r="Z480" s="6"/>
      <c r="AA480" s="6" t="s">
        <v>3165</v>
      </c>
    </row>
    <row r="481" spans="1:27" s="4" customFormat="1" ht="51.95" customHeight="1">
      <c r="A481" s="5">
        <v>0</v>
      </c>
      <c r="B481" s="6" t="s">
        <v>3166</v>
      </c>
      <c r="C481" s="7">
        <v>714</v>
      </c>
      <c r="D481" s="8" t="s">
        <v>3167</v>
      </c>
      <c r="E481" s="8" t="s">
        <v>3168</v>
      </c>
      <c r="F481" s="8" t="s">
        <v>3169</v>
      </c>
      <c r="G481" s="6" t="s">
        <v>52</v>
      </c>
      <c r="H481" s="6" t="s">
        <v>53</v>
      </c>
      <c r="I481" s="8" t="s">
        <v>165</v>
      </c>
      <c r="J481" s="9">
        <v>1</v>
      </c>
      <c r="K481" s="9">
        <v>156</v>
      </c>
      <c r="L481" s="9">
        <v>2024</v>
      </c>
      <c r="M481" s="8" t="s">
        <v>3170</v>
      </c>
      <c r="N481" s="8" t="s">
        <v>56</v>
      </c>
      <c r="O481" s="8" t="s">
        <v>57</v>
      </c>
      <c r="P481" s="6" t="s">
        <v>42</v>
      </c>
      <c r="Q481" s="8" t="s">
        <v>43</v>
      </c>
      <c r="R481" s="10" t="s">
        <v>3171</v>
      </c>
      <c r="S481" s="11" t="s">
        <v>60</v>
      </c>
      <c r="T481" s="6"/>
      <c r="U481" s="27" t="str">
        <f>HYPERLINK("https://media.infra-m.ru/2102/2102709/cover/2102709.jpg", "Обложка")</f>
        <v>Обложка</v>
      </c>
      <c r="V481" s="27" t="str">
        <f>HYPERLINK("https://znanium.com/catalog/product/1946498", "Ознакомиться")</f>
        <v>Ознакомиться</v>
      </c>
      <c r="W481" s="8" t="s">
        <v>1014</v>
      </c>
      <c r="X481" s="6"/>
      <c r="Y481" s="6"/>
      <c r="Z481" s="6"/>
      <c r="AA481" s="6" t="s">
        <v>253</v>
      </c>
    </row>
    <row r="482" spans="1:27" s="4" customFormat="1" ht="51.95" customHeight="1">
      <c r="A482" s="5">
        <v>0</v>
      </c>
      <c r="B482" s="6" t="s">
        <v>3172</v>
      </c>
      <c r="C482" s="13">
        <v>1954</v>
      </c>
      <c r="D482" s="8" t="s">
        <v>3173</v>
      </c>
      <c r="E482" s="8" t="s">
        <v>3174</v>
      </c>
      <c r="F482" s="8" t="s">
        <v>3175</v>
      </c>
      <c r="G482" s="6" t="s">
        <v>37</v>
      </c>
      <c r="H482" s="6" t="s">
        <v>53</v>
      </c>
      <c r="I482" s="8" t="s">
        <v>165</v>
      </c>
      <c r="J482" s="9">
        <v>1</v>
      </c>
      <c r="K482" s="9">
        <v>425</v>
      </c>
      <c r="L482" s="9">
        <v>2023</v>
      </c>
      <c r="M482" s="8" t="s">
        <v>3176</v>
      </c>
      <c r="N482" s="8" t="s">
        <v>56</v>
      </c>
      <c r="O482" s="8" t="s">
        <v>57</v>
      </c>
      <c r="P482" s="6" t="s">
        <v>69</v>
      </c>
      <c r="Q482" s="8" t="s">
        <v>43</v>
      </c>
      <c r="R482" s="10" t="s">
        <v>3177</v>
      </c>
      <c r="S482" s="11" t="s">
        <v>3178</v>
      </c>
      <c r="T482" s="6" t="s">
        <v>277</v>
      </c>
      <c r="U482" s="27" t="str">
        <f>HYPERLINK("https://media.infra-m.ru/2115/2115282/cover/2115282.jpg", "Обложка")</f>
        <v>Обложка</v>
      </c>
      <c r="V482" s="27" t="str">
        <f>HYPERLINK("https://znanium.com/catalog/product/1904571", "Ознакомиться")</f>
        <v>Ознакомиться</v>
      </c>
      <c r="W482" s="8" t="s">
        <v>72</v>
      </c>
      <c r="X482" s="6"/>
      <c r="Y482" s="6"/>
      <c r="Z482" s="6"/>
      <c r="AA482" s="6" t="s">
        <v>208</v>
      </c>
    </row>
    <row r="483" spans="1:27" s="4" customFormat="1" ht="51.95" customHeight="1">
      <c r="A483" s="5">
        <v>0</v>
      </c>
      <c r="B483" s="6" t="s">
        <v>3179</v>
      </c>
      <c r="C483" s="13">
        <v>1849.9</v>
      </c>
      <c r="D483" s="8" t="s">
        <v>3180</v>
      </c>
      <c r="E483" s="8" t="s">
        <v>3181</v>
      </c>
      <c r="F483" s="8" t="s">
        <v>3182</v>
      </c>
      <c r="G483" s="6" t="s">
        <v>37</v>
      </c>
      <c r="H483" s="6" t="s">
        <v>53</v>
      </c>
      <c r="I483" s="8" t="s">
        <v>165</v>
      </c>
      <c r="J483" s="9">
        <v>1</v>
      </c>
      <c r="K483" s="9">
        <v>411</v>
      </c>
      <c r="L483" s="9">
        <v>2023</v>
      </c>
      <c r="M483" s="8" t="s">
        <v>3183</v>
      </c>
      <c r="N483" s="8" t="s">
        <v>56</v>
      </c>
      <c r="O483" s="8" t="s">
        <v>57</v>
      </c>
      <c r="P483" s="6" t="s">
        <v>69</v>
      </c>
      <c r="Q483" s="8" t="s">
        <v>43</v>
      </c>
      <c r="R483" s="10" t="s">
        <v>3184</v>
      </c>
      <c r="S483" s="11" t="s">
        <v>3185</v>
      </c>
      <c r="T483" s="6"/>
      <c r="U483" s="27" t="str">
        <f>HYPERLINK("https://media.infra-m.ru/1891/1891519/cover/1891519.jpg", "Обложка")</f>
        <v>Обложка</v>
      </c>
      <c r="V483" s="27" t="str">
        <f>HYPERLINK("https://znanium.com/catalog/product/1237097", "Ознакомиться")</f>
        <v>Ознакомиться</v>
      </c>
      <c r="W483" s="8" t="s">
        <v>1350</v>
      </c>
      <c r="X483" s="6"/>
      <c r="Y483" s="6"/>
      <c r="Z483" s="6"/>
      <c r="AA483" s="6" t="s">
        <v>3186</v>
      </c>
    </row>
    <row r="484" spans="1:27" s="4" customFormat="1" ht="51.95" customHeight="1">
      <c r="A484" s="5">
        <v>0</v>
      </c>
      <c r="B484" s="6" t="s">
        <v>3187</v>
      </c>
      <c r="C484" s="7">
        <v>594.9</v>
      </c>
      <c r="D484" s="8" t="s">
        <v>3188</v>
      </c>
      <c r="E484" s="8" t="s">
        <v>3189</v>
      </c>
      <c r="F484" s="8" t="s">
        <v>3190</v>
      </c>
      <c r="G484" s="6" t="s">
        <v>52</v>
      </c>
      <c r="H484" s="6" t="s">
        <v>98</v>
      </c>
      <c r="I484" s="8" t="s">
        <v>832</v>
      </c>
      <c r="J484" s="9">
        <v>1</v>
      </c>
      <c r="K484" s="9">
        <v>205</v>
      </c>
      <c r="L484" s="9">
        <v>2021</v>
      </c>
      <c r="M484" s="8" t="s">
        <v>3191</v>
      </c>
      <c r="N484" s="8" t="s">
        <v>56</v>
      </c>
      <c r="O484" s="8" t="s">
        <v>57</v>
      </c>
      <c r="P484" s="6" t="s">
        <v>42</v>
      </c>
      <c r="Q484" s="8" t="s">
        <v>43</v>
      </c>
      <c r="R484" s="10" t="s">
        <v>3192</v>
      </c>
      <c r="S484" s="11"/>
      <c r="T484" s="6"/>
      <c r="U484" s="27" t="str">
        <f>HYPERLINK("https://media.infra-m.ru/1247/1247767/cover/1247767.jpg", "Обложка")</f>
        <v>Обложка</v>
      </c>
      <c r="V484" s="27" t="str">
        <f>HYPERLINK("https://znanium.com/catalog/product/927421", "Ознакомиться")</f>
        <v>Ознакомиться</v>
      </c>
      <c r="W484" s="8" t="s">
        <v>307</v>
      </c>
      <c r="X484" s="6"/>
      <c r="Y484" s="6"/>
      <c r="Z484" s="6"/>
      <c r="AA484" s="6" t="s">
        <v>1828</v>
      </c>
    </row>
    <row r="485" spans="1:27" s="4" customFormat="1" ht="51.95" customHeight="1">
      <c r="A485" s="5">
        <v>0</v>
      </c>
      <c r="B485" s="6" t="s">
        <v>3193</v>
      </c>
      <c r="C485" s="7">
        <v>744.9</v>
      </c>
      <c r="D485" s="8" t="s">
        <v>3194</v>
      </c>
      <c r="E485" s="8" t="s">
        <v>3195</v>
      </c>
      <c r="F485" s="8" t="s">
        <v>3196</v>
      </c>
      <c r="G485" s="6" t="s">
        <v>52</v>
      </c>
      <c r="H485" s="6" t="s">
        <v>53</v>
      </c>
      <c r="I485" s="8" t="s">
        <v>165</v>
      </c>
      <c r="J485" s="9">
        <v>1</v>
      </c>
      <c r="K485" s="9">
        <v>248</v>
      </c>
      <c r="L485" s="9">
        <v>2019</v>
      </c>
      <c r="M485" s="8" t="s">
        <v>3197</v>
      </c>
      <c r="N485" s="8" t="s">
        <v>56</v>
      </c>
      <c r="O485" s="8" t="s">
        <v>57</v>
      </c>
      <c r="P485" s="6" t="s">
        <v>42</v>
      </c>
      <c r="Q485" s="8" t="s">
        <v>43</v>
      </c>
      <c r="R485" s="10" t="s">
        <v>3198</v>
      </c>
      <c r="S485" s="11" t="s">
        <v>3199</v>
      </c>
      <c r="T485" s="6" t="s">
        <v>277</v>
      </c>
      <c r="U485" s="27" t="str">
        <f>HYPERLINK("https://media.infra-m.ru/1001/1001329/cover/1001329.jpg", "Обложка")</f>
        <v>Обложка</v>
      </c>
      <c r="V485" s="27" t="str">
        <f>HYPERLINK("https://znanium.com/catalog/product/1933143", "Ознакомиться")</f>
        <v>Ознакомиться</v>
      </c>
      <c r="W485" s="8" t="s">
        <v>1748</v>
      </c>
      <c r="X485" s="6"/>
      <c r="Y485" s="6"/>
      <c r="Z485" s="6"/>
      <c r="AA485" s="6" t="s">
        <v>47</v>
      </c>
    </row>
    <row r="486" spans="1:27" s="4" customFormat="1" ht="51.95" customHeight="1">
      <c r="A486" s="5">
        <v>0</v>
      </c>
      <c r="B486" s="6" t="s">
        <v>3200</v>
      </c>
      <c r="C486" s="7">
        <v>900</v>
      </c>
      <c r="D486" s="8" t="s">
        <v>3201</v>
      </c>
      <c r="E486" s="8" t="s">
        <v>3202</v>
      </c>
      <c r="F486" s="8" t="s">
        <v>3203</v>
      </c>
      <c r="G486" s="6" t="s">
        <v>52</v>
      </c>
      <c r="H486" s="6" t="s">
        <v>53</v>
      </c>
      <c r="I486" s="8" t="s">
        <v>114</v>
      </c>
      <c r="J486" s="9">
        <v>1</v>
      </c>
      <c r="K486" s="9">
        <v>288</v>
      </c>
      <c r="L486" s="9">
        <v>2018</v>
      </c>
      <c r="M486" s="8" t="s">
        <v>3204</v>
      </c>
      <c r="N486" s="8" t="s">
        <v>56</v>
      </c>
      <c r="O486" s="8" t="s">
        <v>57</v>
      </c>
      <c r="P486" s="6" t="s">
        <v>116</v>
      </c>
      <c r="Q486" s="8" t="s">
        <v>81</v>
      </c>
      <c r="R486" s="10" t="s">
        <v>3205</v>
      </c>
      <c r="S486" s="11"/>
      <c r="T486" s="6"/>
      <c r="U486" s="27" t="str">
        <f>HYPERLINK("https://media.infra-m.ru/0925/0925858/cover/925858.jpg", "Обложка")</f>
        <v>Обложка</v>
      </c>
      <c r="V486" s="27" t="str">
        <f>HYPERLINK("https://znanium.com/catalog/product/925858", "Ознакомиться")</f>
        <v>Ознакомиться</v>
      </c>
      <c r="W486" s="8"/>
      <c r="X486" s="6"/>
      <c r="Y486" s="6"/>
      <c r="Z486" s="6"/>
      <c r="AA486" s="6" t="s">
        <v>62</v>
      </c>
    </row>
    <row r="487" spans="1:27" s="4" customFormat="1" ht="42" customHeight="1">
      <c r="A487" s="5">
        <v>0</v>
      </c>
      <c r="B487" s="6" t="s">
        <v>3206</v>
      </c>
      <c r="C487" s="13">
        <v>1394</v>
      </c>
      <c r="D487" s="8" t="s">
        <v>3207</v>
      </c>
      <c r="E487" s="8" t="s">
        <v>3208</v>
      </c>
      <c r="F487" s="8" t="s">
        <v>3118</v>
      </c>
      <c r="G487" s="6" t="s">
        <v>37</v>
      </c>
      <c r="H487" s="6" t="s">
        <v>53</v>
      </c>
      <c r="I487" s="8" t="s">
        <v>78</v>
      </c>
      <c r="J487" s="9">
        <v>1</v>
      </c>
      <c r="K487" s="9">
        <v>304</v>
      </c>
      <c r="L487" s="9">
        <v>2024</v>
      </c>
      <c r="M487" s="8" t="s">
        <v>3209</v>
      </c>
      <c r="N487" s="8" t="s">
        <v>56</v>
      </c>
      <c r="O487" s="8" t="s">
        <v>57</v>
      </c>
      <c r="P487" s="6" t="s">
        <v>80</v>
      </c>
      <c r="Q487" s="8" t="s">
        <v>81</v>
      </c>
      <c r="R487" s="10" t="s">
        <v>3210</v>
      </c>
      <c r="S487" s="11"/>
      <c r="T487" s="6"/>
      <c r="U487" s="27" t="str">
        <f>HYPERLINK("https://media.infra-m.ru/2085/2085052/cover/2085052.jpg", "Обложка")</f>
        <v>Обложка</v>
      </c>
      <c r="V487" s="27" t="str">
        <f>HYPERLINK("https://znanium.com/catalog/product/1897697", "Ознакомиться")</f>
        <v>Ознакомиться</v>
      </c>
      <c r="W487" s="8" t="s">
        <v>307</v>
      </c>
      <c r="X487" s="6"/>
      <c r="Y487" s="6"/>
      <c r="Z487" s="6"/>
      <c r="AA487" s="6" t="s">
        <v>47</v>
      </c>
    </row>
    <row r="488" spans="1:27" s="4" customFormat="1" ht="42" customHeight="1">
      <c r="A488" s="5">
        <v>0</v>
      </c>
      <c r="B488" s="6" t="s">
        <v>3211</v>
      </c>
      <c r="C488" s="13">
        <v>2492</v>
      </c>
      <c r="D488" s="8" t="s">
        <v>3212</v>
      </c>
      <c r="E488" s="8" t="s">
        <v>3213</v>
      </c>
      <c r="F488" s="8" t="s">
        <v>3214</v>
      </c>
      <c r="G488" s="6" t="s">
        <v>37</v>
      </c>
      <c r="H488" s="6" t="s">
        <v>53</v>
      </c>
      <c r="I488" s="8" t="s">
        <v>54</v>
      </c>
      <c r="J488" s="9">
        <v>1</v>
      </c>
      <c r="K488" s="9">
        <v>416</v>
      </c>
      <c r="L488" s="9">
        <v>2024</v>
      </c>
      <c r="M488" s="8" t="s">
        <v>3215</v>
      </c>
      <c r="N488" s="8" t="s">
        <v>56</v>
      </c>
      <c r="O488" s="8" t="s">
        <v>57</v>
      </c>
      <c r="P488" s="6" t="s">
        <v>42</v>
      </c>
      <c r="Q488" s="8" t="s">
        <v>58</v>
      </c>
      <c r="R488" s="10" t="s">
        <v>3216</v>
      </c>
      <c r="S488" s="11"/>
      <c r="T488" s="6"/>
      <c r="U488" s="27" t="str">
        <f>HYPERLINK("https://media.infra-m.ru/2067/2067395/cover/2067395.jpg", "Обложка")</f>
        <v>Обложка</v>
      </c>
      <c r="V488" s="12"/>
      <c r="W488" s="8" t="s">
        <v>307</v>
      </c>
      <c r="X488" s="6"/>
      <c r="Y488" s="6"/>
      <c r="Z488" s="6"/>
      <c r="AA488" s="6" t="s">
        <v>47</v>
      </c>
    </row>
    <row r="489" spans="1:27" s="4" customFormat="1" ht="42" customHeight="1">
      <c r="A489" s="5">
        <v>0</v>
      </c>
      <c r="B489" s="6" t="s">
        <v>3217</v>
      </c>
      <c r="C489" s="13">
        <v>1050</v>
      </c>
      <c r="D489" s="8" t="s">
        <v>3218</v>
      </c>
      <c r="E489" s="8" t="s">
        <v>3219</v>
      </c>
      <c r="F489" s="8" t="s">
        <v>3220</v>
      </c>
      <c r="G489" s="6" t="s">
        <v>37</v>
      </c>
      <c r="H489" s="6" t="s">
        <v>98</v>
      </c>
      <c r="I489" s="8" t="s">
        <v>165</v>
      </c>
      <c r="J489" s="9">
        <v>1</v>
      </c>
      <c r="K489" s="9">
        <v>299</v>
      </c>
      <c r="L489" s="9">
        <v>2020</v>
      </c>
      <c r="M489" s="8" t="s">
        <v>3221</v>
      </c>
      <c r="N489" s="8" t="s">
        <v>56</v>
      </c>
      <c r="O489" s="8" t="s">
        <v>57</v>
      </c>
      <c r="P489" s="6" t="s">
        <v>42</v>
      </c>
      <c r="Q489" s="8" t="s">
        <v>43</v>
      </c>
      <c r="R489" s="10" t="s">
        <v>3222</v>
      </c>
      <c r="S489" s="11"/>
      <c r="T489" s="6"/>
      <c r="U489" s="27" t="str">
        <f>HYPERLINK("https://media.infra-m.ru/0982/0982341/cover/982341.jpg", "Обложка")</f>
        <v>Обложка</v>
      </c>
      <c r="V489" s="27" t="str">
        <f>HYPERLINK("https://znanium.com/catalog/product/982341", "Ознакомиться")</f>
        <v>Ознакомиться</v>
      </c>
      <c r="W489" s="8" t="s">
        <v>3223</v>
      </c>
      <c r="X489" s="6"/>
      <c r="Y489" s="6"/>
      <c r="Z489" s="6"/>
      <c r="AA489" s="6" t="s">
        <v>288</v>
      </c>
    </row>
    <row r="490" spans="1:27" s="4" customFormat="1" ht="42" customHeight="1">
      <c r="A490" s="5">
        <v>0</v>
      </c>
      <c r="B490" s="6" t="s">
        <v>3224</v>
      </c>
      <c r="C490" s="13">
        <v>1620</v>
      </c>
      <c r="D490" s="8" t="s">
        <v>3225</v>
      </c>
      <c r="E490" s="8" t="s">
        <v>3226</v>
      </c>
      <c r="F490" s="8" t="s">
        <v>3227</v>
      </c>
      <c r="G490" s="6" t="s">
        <v>37</v>
      </c>
      <c r="H490" s="6" t="s">
        <v>239</v>
      </c>
      <c r="I490" s="8"/>
      <c r="J490" s="9">
        <v>1</v>
      </c>
      <c r="K490" s="9">
        <v>352</v>
      </c>
      <c r="L490" s="9">
        <v>2024</v>
      </c>
      <c r="M490" s="8" t="s">
        <v>3228</v>
      </c>
      <c r="N490" s="8" t="s">
        <v>56</v>
      </c>
      <c r="O490" s="8" t="s">
        <v>57</v>
      </c>
      <c r="P490" s="6" t="s">
        <v>42</v>
      </c>
      <c r="Q490" s="8" t="s">
        <v>58</v>
      </c>
      <c r="R490" s="10" t="s">
        <v>3229</v>
      </c>
      <c r="S490" s="11"/>
      <c r="T490" s="6"/>
      <c r="U490" s="27" t="str">
        <f>HYPERLINK("https://media.infra-m.ru/2081/2081757/cover/2081757.jpg", "Обложка")</f>
        <v>Обложка</v>
      </c>
      <c r="V490" s="27" t="str">
        <f>HYPERLINK("https://znanium.com/catalog/product/2081757", "Ознакомиться")</f>
        <v>Ознакомиться</v>
      </c>
      <c r="W490" s="8" t="s">
        <v>72</v>
      </c>
      <c r="X490" s="6" t="s">
        <v>3230</v>
      </c>
      <c r="Y490" s="6"/>
      <c r="Z490" s="6"/>
      <c r="AA490" s="6" t="s">
        <v>1133</v>
      </c>
    </row>
    <row r="491" spans="1:27" s="4" customFormat="1" ht="51.95" customHeight="1">
      <c r="A491" s="5">
        <v>0</v>
      </c>
      <c r="B491" s="6" t="s">
        <v>3231</v>
      </c>
      <c r="C491" s="7">
        <v>924.9</v>
      </c>
      <c r="D491" s="8" t="s">
        <v>3232</v>
      </c>
      <c r="E491" s="8" t="s">
        <v>3233</v>
      </c>
      <c r="F491" s="8" t="s">
        <v>3234</v>
      </c>
      <c r="G491" s="6" t="s">
        <v>37</v>
      </c>
      <c r="H491" s="6" t="s">
        <v>939</v>
      </c>
      <c r="I491" s="8" t="s">
        <v>54</v>
      </c>
      <c r="J491" s="9">
        <v>1</v>
      </c>
      <c r="K491" s="9">
        <v>288</v>
      </c>
      <c r="L491" s="9">
        <v>2019</v>
      </c>
      <c r="M491" s="8" t="s">
        <v>3235</v>
      </c>
      <c r="N491" s="8" t="s">
        <v>40</v>
      </c>
      <c r="O491" s="8" t="s">
        <v>41</v>
      </c>
      <c r="P491" s="6" t="s">
        <v>42</v>
      </c>
      <c r="Q491" s="8" t="s">
        <v>43</v>
      </c>
      <c r="R491" s="10" t="s">
        <v>438</v>
      </c>
      <c r="S491" s="11" t="s">
        <v>3236</v>
      </c>
      <c r="T491" s="6"/>
      <c r="U491" s="27" t="str">
        <f>HYPERLINK("https://media.infra-m.ru/0991/0991842/cover/991842.jpg", "Обложка")</f>
        <v>Обложка</v>
      </c>
      <c r="V491" s="27" t="str">
        <f>HYPERLINK("https://znanium.com/catalog/product/2122963", "Ознакомиться")</f>
        <v>Ознакомиться</v>
      </c>
      <c r="W491" s="8" t="s">
        <v>46</v>
      </c>
      <c r="X491" s="6"/>
      <c r="Y491" s="6"/>
      <c r="Z491" s="6"/>
      <c r="AA491" s="6" t="s">
        <v>1657</v>
      </c>
    </row>
    <row r="492" spans="1:27" s="4" customFormat="1" ht="51.95" customHeight="1">
      <c r="A492" s="5">
        <v>0</v>
      </c>
      <c r="B492" s="6" t="s">
        <v>3237</v>
      </c>
      <c r="C492" s="13">
        <v>1234.9000000000001</v>
      </c>
      <c r="D492" s="8" t="s">
        <v>3238</v>
      </c>
      <c r="E492" s="8" t="s">
        <v>3239</v>
      </c>
      <c r="F492" s="8" t="s">
        <v>3240</v>
      </c>
      <c r="G492" s="6" t="s">
        <v>67</v>
      </c>
      <c r="H492" s="6" t="s">
        <v>53</v>
      </c>
      <c r="I492" s="8" t="s">
        <v>165</v>
      </c>
      <c r="J492" s="9">
        <v>1</v>
      </c>
      <c r="K492" s="9">
        <v>275</v>
      </c>
      <c r="L492" s="9">
        <v>2023</v>
      </c>
      <c r="M492" s="8" t="s">
        <v>3241</v>
      </c>
      <c r="N492" s="8" t="s">
        <v>56</v>
      </c>
      <c r="O492" s="8" t="s">
        <v>57</v>
      </c>
      <c r="P492" s="6" t="s">
        <v>42</v>
      </c>
      <c r="Q492" s="8" t="s">
        <v>43</v>
      </c>
      <c r="R492" s="10" t="s">
        <v>3242</v>
      </c>
      <c r="S492" s="11" t="s">
        <v>60</v>
      </c>
      <c r="T492" s="6"/>
      <c r="U492" s="27" t="str">
        <f>HYPERLINK("https://media.infra-m.ru/1914/1914566/cover/1914566.jpg", "Обложка")</f>
        <v>Обложка</v>
      </c>
      <c r="V492" s="27" t="str">
        <f>HYPERLINK("https://znanium.com/catalog/product/1222407", "Ознакомиться")</f>
        <v>Ознакомиться</v>
      </c>
      <c r="W492" s="8" t="s">
        <v>134</v>
      </c>
      <c r="X492" s="6"/>
      <c r="Y492" s="6"/>
      <c r="Z492" s="6"/>
      <c r="AA492" s="6" t="s">
        <v>3243</v>
      </c>
    </row>
    <row r="493" spans="1:27" s="4" customFormat="1" ht="51.95" customHeight="1">
      <c r="A493" s="5">
        <v>0</v>
      </c>
      <c r="B493" s="6" t="s">
        <v>3244</v>
      </c>
      <c r="C493" s="7">
        <v>634.9</v>
      </c>
      <c r="D493" s="8" t="s">
        <v>3245</v>
      </c>
      <c r="E493" s="8" t="s">
        <v>3246</v>
      </c>
      <c r="F493" s="8" t="s">
        <v>1943</v>
      </c>
      <c r="G493" s="6" t="s">
        <v>52</v>
      </c>
      <c r="H493" s="6" t="s">
        <v>939</v>
      </c>
      <c r="I493" s="8" t="s">
        <v>54</v>
      </c>
      <c r="J493" s="9">
        <v>1</v>
      </c>
      <c r="K493" s="9">
        <v>168</v>
      </c>
      <c r="L493" s="9">
        <v>2022</v>
      </c>
      <c r="M493" s="8" t="s">
        <v>3247</v>
      </c>
      <c r="N493" s="8" t="s">
        <v>56</v>
      </c>
      <c r="O493" s="8" t="s">
        <v>57</v>
      </c>
      <c r="P493" s="6" t="s">
        <v>42</v>
      </c>
      <c r="Q493" s="8" t="s">
        <v>43</v>
      </c>
      <c r="R493" s="10" t="s">
        <v>3248</v>
      </c>
      <c r="S493" s="11" t="s">
        <v>3249</v>
      </c>
      <c r="T493" s="6"/>
      <c r="U493" s="27" t="str">
        <f>HYPERLINK("https://media.infra-m.ru/1855/1855505/cover/1855505.jpg", "Обложка")</f>
        <v>Обложка</v>
      </c>
      <c r="V493" s="27" t="str">
        <f>HYPERLINK("https://znanium.com/catalog/product/991953", "Ознакомиться")</f>
        <v>Ознакомиться</v>
      </c>
      <c r="W493" s="8" t="s">
        <v>72</v>
      </c>
      <c r="X493" s="6"/>
      <c r="Y493" s="6"/>
      <c r="Z493" s="6"/>
      <c r="AA493" s="6" t="s">
        <v>699</v>
      </c>
    </row>
    <row r="494" spans="1:27" s="4" customFormat="1" ht="51.95" customHeight="1">
      <c r="A494" s="5">
        <v>0</v>
      </c>
      <c r="B494" s="6" t="s">
        <v>3250</v>
      </c>
      <c r="C494" s="7">
        <v>320</v>
      </c>
      <c r="D494" s="8" t="s">
        <v>3251</v>
      </c>
      <c r="E494" s="8" t="s">
        <v>3252</v>
      </c>
      <c r="F494" s="8" t="s">
        <v>3253</v>
      </c>
      <c r="G494" s="6" t="s">
        <v>52</v>
      </c>
      <c r="H494" s="6" t="s">
        <v>53</v>
      </c>
      <c r="I494" s="8" t="s">
        <v>165</v>
      </c>
      <c r="J494" s="9">
        <v>1</v>
      </c>
      <c r="K494" s="9">
        <v>120</v>
      </c>
      <c r="L494" s="9">
        <v>2017</v>
      </c>
      <c r="M494" s="8" t="s">
        <v>3254</v>
      </c>
      <c r="N494" s="8" t="s">
        <v>56</v>
      </c>
      <c r="O494" s="8" t="s">
        <v>57</v>
      </c>
      <c r="P494" s="6" t="s">
        <v>80</v>
      </c>
      <c r="Q494" s="8" t="s">
        <v>43</v>
      </c>
      <c r="R494" s="10" t="s">
        <v>3255</v>
      </c>
      <c r="S494" s="11" t="s">
        <v>185</v>
      </c>
      <c r="T494" s="6"/>
      <c r="U494" s="27" t="str">
        <f>HYPERLINK("https://media.infra-m.ru/0767/0767822/cover/767822.jpg", "Обложка")</f>
        <v>Обложка</v>
      </c>
      <c r="V494" s="27" t="str">
        <f>HYPERLINK("https://znanium.com/catalog/product/1744674", "Ознакомиться")</f>
        <v>Ознакомиться</v>
      </c>
      <c r="W494" s="8"/>
      <c r="X494" s="6"/>
      <c r="Y494" s="6"/>
      <c r="Z494" s="6"/>
      <c r="AA494" s="6" t="s">
        <v>1657</v>
      </c>
    </row>
    <row r="495" spans="1:27" s="4" customFormat="1" ht="51.95" customHeight="1">
      <c r="A495" s="5">
        <v>0</v>
      </c>
      <c r="B495" s="6" t="s">
        <v>3256</v>
      </c>
      <c r="C495" s="7">
        <v>604</v>
      </c>
      <c r="D495" s="8" t="s">
        <v>3257</v>
      </c>
      <c r="E495" s="8" t="s">
        <v>3258</v>
      </c>
      <c r="F495" s="8" t="s">
        <v>3259</v>
      </c>
      <c r="G495" s="6" t="s">
        <v>52</v>
      </c>
      <c r="H495" s="6" t="s">
        <v>53</v>
      </c>
      <c r="I495" s="8" t="s">
        <v>165</v>
      </c>
      <c r="J495" s="9">
        <v>1</v>
      </c>
      <c r="K495" s="9">
        <v>131</v>
      </c>
      <c r="L495" s="9">
        <v>2024</v>
      </c>
      <c r="M495" s="8" t="s">
        <v>3260</v>
      </c>
      <c r="N495" s="8" t="s">
        <v>56</v>
      </c>
      <c r="O495" s="8" t="s">
        <v>57</v>
      </c>
      <c r="P495" s="6" t="s">
        <v>42</v>
      </c>
      <c r="Q495" s="8" t="s">
        <v>43</v>
      </c>
      <c r="R495" s="10" t="s">
        <v>3255</v>
      </c>
      <c r="S495" s="11" t="s">
        <v>3261</v>
      </c>
      <c r="T495" s="6"/>
      <c r="U495" s="27" t="str">
        <f>HYPERLINK("https://media.infra-m.ru/2053/2053973/cover/2053973.jpg", "Обложка")</f>
        <v>Обложка</v>
      </c>
      <c r="V495" s="27" t="str">
        <f>HYPERLINK("https://znanium.com/catalog/product/1744674", "Ознакомиться")</f>
        <v>Ознакомиться</v>
      </c>
      <c r="W495" s="8"/>
      <c r="X495" s="6"/>
      <c r="Y495" s="6"/>
      <c r="Z495" s="6"/>
      <c r="AA495" s="6" t="s">
        <v>186</v>
      </c>
    </row>
    <row r="496" spans="1:27" s="4" customFormat="1" ht="44.1" customHeight="1">
      <c r="A496" s="5">
        <v>0</v>
      </c>
      <c r="B496" s="6" t="s">
        <v>3262</v>
      </c>
      <c r="C496" s="7">
        <v>940</v>
      </c>
      <c r="D496" s="8" t="s">
        <v>3263</v>
      </c>
      <c r="E496" s="8" t="s">
        <v>3264</v>
      </c>
      <c r="F496" s="8" t="s">
        <v>3265</v>
      </c>
      <c r="G496" s="6" t="s">
        <v>52</v>
      </c>
      <c r="H496" s="6" t="s">
        <v>98</v>
      </c>
      <c r="I496" s="8" t="s">
        <v>114</v>
      </c>
      <c r="J496" s="9">
        <v>1</v>
      </c>
      <c r="K496" s="9">
        <v>207</v>
      </c>
      <c r="L496" s="9">
        <v>2019</v>
      </c>
      <c r="M496" s="8" t="s">
        <v>3266</v>
      </c>
      <c r="N496" s="8" t="s">
        <v>56</v>
      </c>
      <c r="O496" s="8" t="s">
        <v>57</v>
      </c>
      <c r="P496" s="6" t="s">
        <v>116</v>
      </c>
      <c r="Q496" s="8" t="s">
        <v>81</v>
      </c>
      <c r="R496" s="10" t="s">
        <v>567</v>
      </c>
      <c r="S496" s="11"/>
      <c r="T496" s="6" t="s">
        <v>277</v>
      </c>
      <c r="U496" s="27" t="str">
        <f>HYPERLINK("https://media.infra-m.ru/1003/1003263/cover/1003263.jpg", "Обложка")</f>
        <v>Обложка</v>
      </c>
      <c r="V496" s="27" t="str">
        <f>HYPERLINK("https://znanium.com/catalog/product/1003263", "Ознакомиться")</f>
        <v>Ознакомиться</v>
      </c>
      <c r="W496" s="8" t="s">
        <v>3267</v>
      </c>
      <c r="X496" s="6"/>
      <c r="Y496" s="6"/>
      <c r="Z496" s="6"/>
      <c r="AA496" s="6" t="s">
        <v>288</v>
      </c>
    </row>
    <row r="497" spans="1:27" s="4" customFormat="1" ht="42" customHeight="1">
      <c r="A497" s="5">
        <v>0</v>
      </c>
      <c r="B497" s="6" t="s">
        <v>3268</v>
      </c>
      <c r="C497" s="13">
        <v>1034.9000000000001</v>
      </c>
      <c r="D497" s="8" t="s">
        <v>3269</v>
      </c>
      <c r="E497" s="8" t="s">
        <v>3270</v>
      </c>
      <c r="F497" s="8" t="s">
        <v>3271</v>
      </c>
      <c r="G497" s="6" t="s">
        <v>52</v>
      </c>
      <c r="H497" s="6" t="s">
        <v>53</v>
      </c>
      <c r="I497" s="8" t="s">
        <v>114</v>
      </c>
      <c r="J497" s="9">
        <v>1</v>
      </c>
      <c r="K497" s="9">
        <v>231</v>
      </c>
      <c r="L497" s="9">
        <v>2023</v>
      </c>
      <c r="M497" s="8" t="s">
        <v>3272</v>
      </c>
      <c r="N497" s="8" t="s">
        <v>56</v>
      </c>
      <c r="O497" s="8" t="s">
        <v>57</v>
      </c>
      <c r="P497" s="6" t="s">
        <v>116</v>
      </c>
      <c r="Q497" s="8" t="s">
        <v>81</v>
      </c>
      <c r="R497" s="10" t="s">
        <v>3273</v>
      </c>
      <c r="S497" s="11"/>
      <c r="T497" s="6"/>
      <c r="U497" s="27" t="str">
        <f>HYPERLINK("https://media.infra-m.ru/1976/1976169/cover/1976169.jpg", "Обложка")</f>
        <v>Обложка</v>
      </c>
      <c r="V497" s="27" t="str">
        <f>HYPERLINK("https://znanium.com/catalog/product/1022304", "Ознакомиться")</f>
        <v>Ознакомиться</v>
      </c>
      <c r="W497" s="8" t="s">
        <v>3274</v>
      </c>
      <c r="X497" s="6"/>
      <c r="Y497" s="6"/>
      <c r="Z497" s="6"/>
      <c r="AA497" s="6" t="s">
        <v>601</v>
      </c>
    </row>
    <row r="498" spans="1:27" s="4" customFormat="1" ht="44.1" customHeight="1">
      <c r="A498" s="5">
        <v>0</v>
      </c>
      <c r="B498" s="6" t="s">
        <v>3275</v>
      </c>
      <c r="C498" s="13">
        <v>1944</v>
      </c>
      <c r="D498" s="8" t="s">
        <v>3276</v>
      </c>
      <c r="E498" s="8" t="s">
        <v>3277</v>
      </c>
      <c r="F498" s="8" t="s">
        <v>1649</v>
      </c>
      <c r="G498" s="6" t="s">
        <v>37</v>
      </c>
      <c r="H498" s="6" t="s">
        <v>239</v>
      </c>
      <c r="I498" s="8"/>
      <c r="J498" s="9">
        <v>1</v>
      </c>
      <c r="K498" s="9">
        <v>432</v>
      </c>
      <c r="L498" s="9">
        <v>2023</v>
      </c>
      <c r="M498" s="8" t="s">
        <v>3278</v>
      </c>
      <c r="N498" s="8" t="s">
        <v>56</v>
      </c>
      <c r="O498" s="8" t="s">
        <v>57</v>
      </c>
      <c r="P498" s="6" t="s">
        <v>42</v>
      </c>
      <c r="Q498" s="8" t="s">
        <v>43</v>
      </c>
      <c r="R498" s="10" t="s">
        <v>285</v>
      </c>
      <c r="S498" s="11"/>
      <c r="T498" s="6"/>
      <c r="U498" s="27" t="str">
        <f>HYPERLINK("https://media.infra-m.ru/2045/2045823/cover/2045823.jpg", "Обложка")</f>
        <v>Обложка</v>
      </c>
      <c r="V498" s="27" t="str">
        <f>HYPERLINK("https://znanium.com/catalog/product/367445", "Ознакомиться")</f>
        <v>Ознакомиться</v>
      </c>
      <c r="W498" s="8" t="s">
        <v>539</v>
      </c>
      <c r="X498" s="6"/>
      <c r="Y498" s="6"/>
      <c r="Z498" s="6"/>
      <c r="AA498" s="6" t="s">
        <v>62</v>
      </c>
    </row>
    <row r="499" spans="1:27" s="4" customFormat="1" ht="44.1" customHeight="1">
      <c r="A499" s="5">
        <v>0</v>
      </c>
      <c r="B499" s="6" t="s">
        <v>3279</v>
      </c>
      <c r="C499" s="7">
        <v>700</v>
      </c>
      <c r="D499" s="8" t="s">
        <v>3280</v>
      </c>
      <c r="E499" s="8" t="s">
        <v>3281</v>
      </c>
      <c r="F499" s="8" t="s">
        <v>3282</v>
      </c>
      <c r="G499" s="6" t="s">
        <v>52</v>
      </c>
      <c r="H499" s="6" t="s">
        <v>53</v>
      </c>
      <c r="I499" s="8" t="s">
        <v>3283</v>
      </c>
      <c r="J499" s="9">
        <v>1</v>
      </c>
      <c r="K499" s="9">
        <v>177</v>
      </c>
      <c r="L499" s="9">
        <v>2020</v>
      </c>
      <c r="M499" s="8" t="s">
        <v>3284</v>
      </c>
      <c r="N499" s="8" t="s">
        <v>56</v>
      </c>
      <c r="O499" s="8" t="s">
        <v>57</v>
      </c>
      <c r="P499" s="6" t="s">
        <v>116</v>
      </c>
      <c r="Q499" s="8" t="s">
        <v>81</v>
      </c>
      <c r="R499" s="10" t="s">
        <v>3285</v>
      </c>
      <c r="S499" s="11"/>
      <c r="T499" s="6"/>
      <c r="U499" s="27" t="str">
        <f>HYPERLINK("https://media.infra-m.ru/1019/1019184/cover/1019184.jpg", "Обложка")</f>
        <v>Обложка</v>
      </c>
      <c r="V499" s="27" t="str">
        <f>HYPERLINK("https://znanium.com/catalog/product/1019184", "Ознакомиться")</f>
        <v>Ознакомиться</v>
      </c>
      <c r="W499" s="8" t="s">
        <v>46</v>
      </c>
      <c r="X499" s="6"/>
      <c r="Y499" s="6"/>
      <c r="Z499" s="6"/>
      <c r="AA499" s="6" t="s">
        <v>601</v>
      </c>
    </row>
    <row r="500" spans="1:27" s="4" customFormat="1" ht="51.95" customHeight="1">
      <c r="A500" s="5">
        <v>0</v>
      </c>
      <c r="B500" s="6" t="s">
        <v>3286</v>
      </c>
      <c r="C500" s="13">
        <v>1200</v>
      </c>
      <c r="D500" s="8" t="s">
        <v>3287</v>
      </c>
      <c r="E500" s="8" t="s">
        <v>3288</v>
      </c>
      <c r="F500" s="8" t="s">
        <v>3289</v>
      </c>
      <c r="G500" s="6" t="s">
        <v>67</v>
      </c>
      <c r="H500" s="6" t="s">
        <v>53</v>
      </c>
      <c r="I500" s="8" t="s">
        <v>459</v>
      </c>
      <c r="J500" s="9">
        <v>1</v>
      </c>
      <c r="K500" s="9">
        <v>372</v>
      </c>
      <c r="L500" s="9">
        <v>2018</v>
      </c>
      <c r="M500" s="8" t="s">
        <v>3290</v>
      </c>
      <c r="N500" s="8" t="s">
        <v>56</v>
      </c>
      <c r="O500" s="8" t="s">
        <v>57</v>
      </c>
      <c r="P500" s="6" t="s">
        <v>69</v>
      </c>
      <c r="Q500" s="8" t="s">
        <v>81</v>
      </c>
      <c r="R500" s="10" t="s">
        <v>3291</v>
      </c>
      <c r="S500" s="11" t="s">
        <v>3292</v>
      </c>
      <c r="T500" s="6"/>
      <c r="U500" s="27" t="str">
        <f>HYPERLINK("https://media.infra-m.ru/1005/1005794/cover/1005794.jpg", "Обложка")</f>
        <v>Обложка</v>
      </c>
      <c r="V500" s="27" t="str">
        <f>HYPERLINK("https://znanium.com/catalog/product/1912708", "Ознакомиться")</f>
        <v>Ознакомиться</v>
      </c>
      <c r="W500" s="8" t="s">
        <v>287</v>
      </c>
      <c r="X500" s="6"/>
      <c r="Y500" s="6"/>
      <c r="Z500" s="6"/>
      <c r="AA500" s="6" t="s">
        <v>301</v>
      </c>
    </row>
    <row r="501" spans="1:27" s="4" customFormat="1" ht="51.95" customHeight="1">
      <c r="A501" s="5">
        <v>0</v>
      </c>
      <c r="B501" s="6" t="s">
        <v>3293</v>
      </c>
      <c r="C501" s="13">
        <v>1530</v>
      </c>
      <c r="D501" s="8" t="s">
        <v>3294</v>
      </c>
      <c r="E501" s="8" t="s">
        <v>3295</v>
      </c>
      <c r="F501" s="8" t="s">
        <v>3289</v>
      </c>
      <c r="G501" s="6" t="s">
        <v>67</v>
      </c>
      <c r="H501" s="6" t="s">
        <v>53</v>
      </c>
      <c r="I501" s="8" t="s">
        <v>459</v>
      </c>
      <c r="J501" s="9">
        <v>1</v>
      </c>
      <c r="K501" s="9">
        <v>339</v>
      </c>
      <c r="L501" s="9">
        <v>2023</v>
      </c>
      <c r="M501" s="8" t="s">
        <v>3296</v>
      </c>
      <c r="N501" s="8" t="s">
        <v>56</v>
      </c>
      <c r="O501" s="8" t="s">
        <v>57</v>
      </c>
      <c r="P501" s="6" t="s">
        <v>69</v>
      </c>
      <c r="Q501" s="8" t="s">
        <v>81</v>
      </c>
      <c r="R501" s="10" t="s">
        <v>3291</v>
      </c>
      <c r="S501" s="11" t="s">
        <v>3292</v>
      </c>
      <c r="T501" s="6"/>
      <c r="U501" s="27" t="str">
        <f>HYPERLINK("https://media.infra-m.ru/1912/1912708/cover/1912708.jpg", "Обложка")</f>
        <v>Обложка</v>
      </c>
      <c r="V501" s="27" t="str">
        <f>HYPERLINK("https://znanium.com/catalog/product/1912708", "Ознакомиться")</f>
        <v>Ознакомиться</v>
      </c>
      <c r="W501" s="8" t="s">
        <v>287</v>
      </c>
      <c r="X501" s="6"/>
      <c r="Y501" s="6"/>
      <c r="Z501" s="6"/>
      <c r="AA501" s="6" t="s">
        <v>242</v>
      </c>
    </row>
    <row r="502" spans="1:27" s="4" customFormat="1" ht="51.95" customHeight="1">
      <c r="A502" s="5">
        <v>0</v>
      </c>
      <c r="B502" s="6" t="s">
        <v>3297</v>
      </c>
      <c r="C502" s="13">
        <v>1054.9000000000001</v>
      </c>
      <c r="D502" s="8" t="s">
        <v>3298</v>
      </c>
      <c r="E502" s="8" t="s">
        <v>3299</v>
      </c>
      <c r="F502" s="8" t="s">
        <v>790</v>
      </c>
      <c r="G502" s="6" t="s">
        <v>37</v>
      </c>
      <c r="H502" s="6" t="s">
        <v>867</v>
      </c>
      <c r="I502" s="8" t="s">
        <v>459</v>
      </c>
      <c r="J502" s="9">
        <v>1</v>
      </c>
      <c r="K502" s="9">
        <v>361</v>
      </c>
      <c r="L502" s="9">
        <v>2017</v>
      </c>
      <c r="M502" s="8" t="s">
        <v>3300</v>
      </c>
      <c r="N502" s="8" t="s">
        <v>56</v>
      </c>
      <c r="O502" s="8" t="s">
        <v>57</v>
      </c>
      <c r="P502" s="6" t="s">
        <v>69</v>
      </c>
      <c r="Q502" s="8" t="s">
        <v>43</v>
      </c>
      <c r="R502" s="10" t="s">
        <v>3291</v>
      </c>
      <c r="S502" s="11" t="s">
        <v>3292</v>
      </c>
      <c r="T502" s="6"/>
      <c r="U502" s="27" t="str">
        <f>HYPERLINK("https://media.infra-m.ru/0907/0907492/cover/907492.jpg", "Обложка")</f>
        <v>Обложка</v>
      </c>
      <c r="V502" s="27" t="str">
        <f>HYPERLINK("https://znanium.com/catalog/product/1912708", "Ознакомиться")</f>
        <v>Ознакомиться</v>
      </c>
      <c r="W502" s="8" t="s">
        <v>287</v>
      </c>
      <c r="X502" s="6"/>
      <c r="Y502" s="6"/>
      <c r="Z502" s="6"/>
      <c r="AA502" s="6" t="s">
        <v>2473</v>
      </c>
    </row>
    <row r="503" spans="1:27" s="4" customFormat="1" ht="51.95" customHeight="1">
      <c r="A503" s="5">
        <v>0</v>
      </c>
      <c r="B503" s="6" t="s">
        <v>3301</v>
      </c>
      <c r="C503" s="7">
        <v>694</v>
      </c>
      <c r="D503" s="8" t="s">
        <v>3302</v>
      </c>
      <c r="E503" s="8" t="s">
        <v>3303</v>
      </c>
      <c r="F503" s="8" t="s">
        <v>3304</v>
      </c>
      <c r="G503" s="6" t="s">
        <v>52</v>
      </c>
      <c r="H503" s="6" t="s">
        <v>98</v>
      </c>
      <c r="I503" s="8" t="s">
        <v>478</v>
      </c>
      <c r="J503" s="9">
        <v>1</v>
      </c>
      <c r="K503" s="9">
        <v>155</v>
      </c>
      <c r="L503" s="9">
        <v>2023</v>
      </c>
      <c r="M503" s="8" t="s">
        <v>3305</v>
      </c>
      <c r="N503" s="8" t="s">
        <v>56</v>
      </c>
      <c r="O503" s="8" t="s">
        <v>57</v>
      </c>
      <c r="P503" s="6" t="s">
        <v>116</v>
      </c>
      <c r="Q503" s="8" t="s">
        <v>81</v>
      </c>
      <c r="R503" s="10" t="s">
        <v>3306</v>
      </c>
      <c r="S503" s="11"/>
      <c r="T503" s="6"/>
      <c r="U503" s="27" t="str">
        <f>HYPERLINK("https://media.infra-m.ru/1981/1981701/cover/1981701.jpg", "Обложка")</f>
        <v>Обложка</v>
      </c>
      <c r="V503" s="27" t="str">
        <f>HYPERLINK("https://znanium.com/catalog/product/1012433", "Ознакомиться")</f>
        <v>Ознакомиться</v>
      </c>
      <c r="W503" s="8"/>
      <c r="X503" s="6"/>
      <c r="Y503" s="6"/>
      <c r="Z503" s="6"/>
      <c r="AA503" s="6" t="s">
        <v>208</v>
      </c>
    </row>
    <row r="504" spans="1:27" s="4" customFormat="1" ht="51.95" customHeight="1">
      <c r="A504" s="5">
        <v>0</v>
      </c>
      <c r="B504" s="6" t="s">
        <v>3307</v>
      </c>
      <c r="C504" s="7">
        <v>424</v>
      </c>
      <c r="D504" s="8" t="s">
        <v>3308</v>
      </c>
      <c r="E504" s="8" t="s">
        <v>3309</v>
      </c>
      <c r="F504" s="8" t="s">
        <v>3310</v>
      </c>
      <c r="G504" s="6" t="s">
        <v>52</v>
      </c>
      <c r="H504" s="6" t="s">
        <v>53</v>
      </c>
      <c r="I504" s="8" t="s">
        <v>114</v>
      </c>
      <c r="J504" s="9">
        <v>1</v>
      </c>
      <c r="K504" s="9">
        <v>84</v>
      </c>
      <c r="L504" s="9">
        <v>2023</v>
      </c>
      <c r="M504" s="8" t="s">
        <v>3311</v>
      </c>
      <c r="N504" s="8" t="s">
        <v>56</v>
      </c>
      <c r="O504" s="8" t="s">
        <v>57</v>
      </c>
      <c r="P504" s="6" t="s">
        <v>116</v>
      </c>
      <c r="Q504" s="8" t="s">
        <v>81</v>
      </c>
      <c r="R504" s="10" t="s">
        <v>3312</v>
      </c>
      <c r="S504" s="11"/>
      <c r="T504" s="6"/>
      <c r="U504" s="27" t="str">
        <f>HYPERLINK("https://media.infra-m.ru/2002/2002581/cover/2002581.jpg", "Обложка")</f>
        <v>Обложка</v>
      </c>
      <c r="V504" s="27" t="str">
        <f>HYPERLINK("https://znanium.com/catalog/product/556000", "Ознакомиться")</f>
        <v>Ознакомиться</v>
      </c>
      <c r="W504" s="8" t="s">
        <v>72</v>
      </c>
      <c r="X504" s="6"/>
      <c r="Y504" s="6"/>
      <c r="Z504" s="6"/>
      <c r="AA504" s="6" t="s">
        <v>253</v>
      </c>
    </row>
    <row r="505" spans="1:27" s="4" customFormat="1" ht="51.95" customHeight="1">
      <c r="A505" s="5">
        <v>0</v>
      </c>
      <c r="B505" s="6" t="s">
        <v>3313</v>
      </c>
      <c r="C505" s="13">
        <v>1220</v>
      </c>
      <c r="D505" s="8" t="s">
        <v>3314</v>
      </c>
      <c r="E505" s="8" t="s">
        <v>3315</v>
      </c>
      <c r="F505" s="8" t="s">
        <v>3316</v>
      </c>
      <c r="G505" s="6" t="s">
        <v>37</v>
      </c>
      <c r="H505" s="6" t="s">
        <v>265</v>
      </c>
      <c r="I505" s="8" t="s">
        <v>652</v>
      </c>
      <c r="J505" s="9">
        <v>1</v>
      </c>
      <c r="K505" s="9">
        <v>320</v>
      </c>
      <c r="L505" s="9">
        <v>2022</v>
      </c>
      <c r="M505" s="8" t="s">
        <v>3317</v>
      </c>
      <c r="N505" s="8" t="s">
        <v>40</v>
      </c>
      <c r="O505" s="8" t="s">
        <v>41</v>
      </c>
      <c r="P505" s="6" t="s">
        <v>42</v>
      </c>
      <c r="Q505" s="8" t="s">
        <v>654</v>
      </c>
      <c r="R505" s="10" t="s">
        <v>2204</v>
      </c>
      <c r="S505" s="11" t="s">
        <v>3318</v>
      </c>
      <c r="T505" s="6"/>
      <c r="U505" s="27" t="str">
        <f>HYPERLINK("https://media.infra-m.ru/1862/1862906/cover/1862906.jpg", "Обложка")</f>
        <v>Обложка</v>
      </c>
      <c r="V505" s="27" t="str">
        <f>HYPERLINK("https://znanium.com/catalog/product/1862906", "Ознакомиться")</f>
        <v>Ознакомиться</v>
      </c>
      <c r="W505" s="8" t="s">
        <v>91</v>
      </c>
      <c r="X505" s="6"/>
      <c r="Y505" s="6"/>
      <c r="Z505" s="6" t="s">
        <v>657</v>
      </c>
      <c r="AA505" s="6" t="s">
        <v>425</v>
      </c>
    </row>
    <row r="506" spans="1:27" s="4" customFormat="1" ht="51.95" customHeight="1">
      <c r="A506" s="5">
        <v>0</v>
      </c>
      <c r="B506" s="6" t="s">
        <v>3319</v>
      </c>
      <c r="C506" s="13">
        <v>1214.9000000000001</v>
      </c>
      <c r="D506" s="8" t="s">
        <v>3320</v>
      </c>
      <c r="E506" s="8" t="s">
        <v>3315</v>
      </c>
      <c r="F506" s="8" t="s">
        <v>3321</v>
      </c>
      <c r="G506" s="6" t="s">
        <v>37</v>
      </c>
      <c r="H506" s="6" t="s">
        <v>265</v>
      </c>
      <c r="I506" s="8" t="s">
        <v>54</v>
      </c>
      <c r="J506" s="9">
        <v>1</v>
      </c>
      <c r="K506" s="9">
        <v>320</v>
      </c>
      <c r="L506" s="9">
        <v>2022</v>
      </c>
      <c r="M506" s="8" t="s">
        <v>3322</v>
      </c>
      <c r="N506" s="8" t="s">
        <v>40</v>
      </c>
      <c r="O506" s="8" t="s">
        <v>41</v>
      </c>
      <c r="P506" s="6" t="s">
        <v>42</v>
      </c>
      <c r="Q506" s="8" t="s">
        <v>43</v>
      </c>
      <c r="R506" s="10" t="s">
        <v>3323</v>
      </c>
      <c r="S506" s="11" t="s">
        <v>3324</v>
      </c>
      <c r="T506" s="6"/>
      <c r="U506" s="27" t="str">
        <f>HYPERLINK("https://media.infra-m.ru/1842/1842562/cover/1842562.jpg", "Обложка")</f>
        <v>Обложка</v>
      </c>
      <c r="V506" s="27" t="str">
        <f>HYPERLINK("https://znanium.com/catalog/product/1842562", "Ознакомиться")</f>
        <v>Ознакомиться</v>
      </c>
      <c r="W506" s="8" t="s">
        <v>91</v>
      </c>
      <c r="X506" s="6"/>
      <c r="Y506" s="6"/>
      <c r="Z506" s="6"/>
      <c r="AA506" s="6" t="s">
        <v>463</v>
      </c>
    </row>
    <row r="507" spans="1:27" s="4" customFormat="1" ht="51.95" customHeight="1">
      <c r="A507" s="5">
        <v>0</v>
      </c>
      <c r="B507" s="6" t="s">
        <v>3325</v>
      </c>
      <c r="C507" s="7">
        <v>770</v>
      </c>
      <c r="D507" s="8" t="s">
        <v>3326</v>
      </c>
      <c r="E507" s="8" t="s">
        <v>3327</v>
      </c>
      <c r="F507" s="8" t="s">
        <v>3328</v>
      </c>
      <c r="G507" s="6" t="s">
        <v>52</v>
      </c>
      <c r="H507" s="6" t="s">
        <v>53</v>
      </c>
      <c r="I507" s="8" t="s">
        <v>3283</v>
      </c>
      <c r="J507" s="9">
        <v>1</v>
      </c>
      <c r="K507" s="9">
        <v>170</v>
      </c>
      <c r="L507" s="9">
        <v>2022</v>
      </c>
      <c r="M507" s="8" t="s">
        <v>3329</v>
      </c>
      <c r="N507" s="8" t="s">
        <v>56</v>
      </c>
      <c r="O507" s="8" t="s">
        <v>57</v>
      </c>
      <c r="P507" s="6" t="s">
        <v>116</v>
      </c>
      <c r="Q507" s="8" t="s">
        <v>81</v>
      </c>
      <c r="R507" s="10" t="s">
        <v>3330</v>
      </c>
      <c r="S507" s="11"/>
      <c r="T507" s="6"/>
      <c r="U507" s="27" t="str">
        <f>HYPERLINK("https://media.infra-m.ru/1873/1873865/cover/1873865.jpg", "Обложка")</f>
        <v>Обложка</v>
      </c>
      <c r="V507" s="27" t="str">
        <f>HYPERLINK("https://znanium.com/catalog/product/1873865", "Ознакомиться")</f>
        <v>Ознакомиться</v>
      </c>
      <c r="W507" s="8" t="s">
        <v>46</v>
      </c>
      <c r="X507" s="6"/>
      <c r="Y507" s="6"/>
      <c r="Z507" s="6"/>
      <c r="AA507" s="6" t="s">
        <v>226</v>
      </c>
    </row>
    <row r="508" spans="1:27" s="4" customFormat="1" ht="51.95" customHeight="1">
      <c r="A508" s="5">
        <v>0</v>
      </c>
      <c r="B508" s="6" t="s">
        <v>3331</v>
      </c>
      <c r="C508" s="7">
        <v>754.9</v>
      </c>
      <c r="D508" s="8" t="s">
        <v>3332</v>
      </c>
      <c r="E508" s="8" t="s">
        <v>3333</v>
      </c>
      <c r="F508" s="8" t="s">
        <v>3334</v>
      </c>
      <c r="G508" s="6" t="s">
        <v>52</v>
      </c>
      <c r="H508" s="6" t="s">
        <v>98</v>
      </c>
      <c r="I508" s="8" t="s">
        <v>114</v>
      </c>
      <c r="J508" s="9">
        <v>1</v>
      </c>
      <c r="K508" s="9">
        <v>244</v>
      </c>
      <c r="L508" s="9">
        <v>2017</v>
      </c>
      <c r="M508" s="8" t="s">
        <v>3335</v>
      </c>
      <c r="N508" s="8" t="s">
        <v>56</v>
      </c>
      <c r="O508" s="8" t="s">
        <v>57</v>
      </c>
      <c r="P508" s="6" t="s">
        <v>116</v>
      </c>
      <c r="Q508" s="8" t="s">
        <v>81</v>
      </c>
      <c r="R508" s="10" t="s">
        <v>3336</v>
      </c>
      <c r="S508" s="11"/>
      <c r="T508" s="6"/>
      <c r="U508" s="27" t="str">
        <f>HYPERLINK("https://media.infra-m.ru/0612/0612511/cover/612511.jpg", "Обложка")</f>
        <v>Обложка</v>
      </c>
      <c r="V508" s="27" t="str">
        <f>HYPERLINK("https://znanium.com/catalog/product/1015160", "Ознакомиться")</f>
        <v>Ознакомиться</v>
      </c>
      <c r="W508" s="8" t="s">
        <v>3042</v>
      </c>
      <c r="X508" s="6"/>
      <c r="Y508" s="6"/>
      <c r="Z508" s="6"/>
      <c r="AA508" s="6" t="s">
        <v>84</v>
      </c>
    </row>
    <row r="509" spans="1:27" s="4" customFormat="1" ht="42" customHeight="1">
      <c r="A509" s="5">
        <v>0</v>
      </c>
      <c r="B509" s="6" t="s">
        <v>3337</v>
      </c>
      <c r="C509" s="13">
        <v>1200</v>
      </c>
      <c r="D509" s="8" t="s">
        <v>3338</v>
      </c>
      <c r="E509" s="8" t="s">
        <v>3339</v>
      </c>
      <c r="F509" s="8" t="s">
        <v>2221</v>
      </c>
      <c r="G509" s="6" t="s">
        <v>67</v>
      </c>
      <c r="H509" s="6" t="s">
        <v>53</v>
      </c>
      <c r="I509" s="8" t="s">
        <v>165</v>
      </c>
      <c r="J509" s="9">
        <v>1</v>
      </c>
      <c r="K509" s="9">
        <v>260</v>
      </c>
      <c r="L509" s="9">
        <v>2024</v>
      </c>
      <c r="M509" s="8" t="s">
        <v>3340</v>
      </c>
      <c r="N509" s="8" t="s">
        <v>56</v>
      </c>
      <c r="O509" s="8" t="s">
        <v>57</v>
      </c>
      <c r="P509" s="6" t="s">
        <v>42</v>
      </c>
      <c r="Q509" s="8" t="s">
        <v>43</v>
      </c>
      <c r="R509" s="10" t="s">
        <v>275</v>
      </c>
      <c r="S509" s="11"/>
      <c r="T509" s="6"/>
      <c r="U509" s="27" t="str">
        <f>HYPERLINK("https://media.infra-m.ru/2084/2084211/cover/2084211.jpg", "Обложка")</f>
        <v>Обложка</v>
      </c>
      <c r="V509" s="27" t="str">
        <f>HYPERLINK("https://znanium.com/catalog/product/2084211", "Ознакомиться")</f>
        <v>Ознакомиться</v>
      </c>
      <c r="W509" s="8" t="s">
        <v>2225</v>
      </c>
      <c r="X509" s="6"/>
      <c r="Y509" s="6"/>
      <c r="Z509" s="6"/>
      <c r="AA509" s="6" t="s">
        <v>3341</v>
      </c>
    </row>
    <row r="510" spans="1:27" s="4" customFormat="1" ht="44.1" customHeight="1">
      <c r="A510" s="5">
        <v>0</v>
      </c>
      <c r="B510" s="6" t="s">
        <v>3342</v>
      </c>
      <c r="C510" s="13">
        <v>1084</v>
      </c>
      <c r="D510" s="8" t="s">
        <v>3343</v>
      </c>
      <c r="E510" s="8" t="s">
        <v>3344</v>
      </c>
      <c r="F510" s="8" t="s">
        <v>1765</v>
      </c>
      <c r="G510" s="6" t="s">
        <v>67</v>
      </c>
      <c r="H510" s="6" t="s">
        <v>53</v>
      </c>
      <c r="I510" s="8" t="s">
        <v>114</v>
      </c>
      <c r="J510" s="9">
        <v>1</v>
      </c>
      <c r="K510" s="9">
        <v>235</v>
      </c>
      <c r="L510" s="9">
        <v>2024</v>
      </c>
      <c r="M510" s="8" t="s">
        <v>3345</v>
      </c>
      <c r="N510" s="8" t="s">
        <v>56</v>
      </c>
      <c r="O510" s="8" t="s">
        <v>57</v>
      </c>
      <c r="P510" s="6" t="s">
        <v>116</v>
      </c>
      <c r="Q510" s="8" t="s">
        <v>81</v>
      </c>
      <c r="R510" s="10" t="s">
        <v>3346</v>
      </c>
      <c r="S510" s="11"/>
      <c r="T510" s="6"/>
      <c r="U510" s="27" t="str">
        <f>HYPERLINK("https://media.infra-m.ru/2117/2117143/cover/2117143.jpg", "Обложка")</f>
        <v>Обложка</v>
      </c>
      <c r="V510" s="27" t="str">
        <f>HYPERLINK("https://znanium.com/catalog/product/2105348", "Ознакомиться")</f>
        <v>Ознакомиться</v>
      </c>
      <c r="W510" s="8" t="s">
        <v>91</v>
      </c>
      <c r="X510" s="6"/>
      <c r="Y510" s="6"/>
      <c r="Z510" s="6"/>
      <c r="AA510" s="6" t="s">
        <v>288</v>
      </c>
    </row>
    <row r="511" spans="1:27" s="4" customFormat="1" ht="51.95" customHeight="1">
      <c r="A511" s="5">
        <v>0</v>
      </c>
      <c r="B511" s="6" t="s">
        <v>3347</v>
      </c>
      <c r="C511" s="13">
        <v>1644</v>
      </c>
      <c r="D511" s="8" t="s">
        <v>3348</v>
      </c>
      <c r="E511" s="8" t="s">
        <v>3349</v>
      </c>
      <c r="F511" s="8" t="s">
        <v>3350</v>
      </c>
      <c r="G511" s="6" t="s">
        <v>37</v>
      </c>
      <c r="H511" s="6" t="s">
        <v>38</v>
      </c>
      <c r="I511" s="8" t="s">
        <v>3351</v>
      </c>
      <c r="J511" s="9">
        <v>1</v>
      </c>
      <c r="K511" s="9">
        <v>364</v>
      </c>
      <c r="L511" s="9">
        <v>2023</v>
      </c>
      <c r="M511" s="8" t="s">
        <v>3352</v>
      </c>
      <c r="N511" s="8" t="s">
        <v>56</v>
      </c>
      <c r="O511" s="8" t="s">
        <v>57</v>
      </c>
      <c r="P511" s="6" t="s">
        <v>69</v>
      </c>
      <c r="Q511" s="8" t="s">
        <v>43</v>
      </c>
      <c r="R511" s="10" t="s">
        <v>3353</v>
      </c>
      <c r="S511" s="11" t="s">
        <v>3354</v>
      </c>
      <c r="T511" s="6"/>
      <c r="U511" s="27" t="str">
        <f>HYPERLINK("https://media.infra-m.ru/2006/2006827/cover/2006827.jpg", "Обложка")</f>
        <v>Обложка</v>
      </c>
      <c r="V511" s="27" t="str">
        <f>HYPERLINK("https://znanium.com/catalog/product/1055130", "Ознакомиться")</f>
        <v>Ознакомиться</v>
      </c>
      <c r="W511" s="8" t="s">
        <v>46</v>
      </c>
      <c r="X511" s="6"/>
      <c r="Y511" s="6"/>
      <c r="Z511" s="6"/>
      <c r="AA511" s="6" t="s">
        <v>73</v>
      </c>
    </row>
    <row r="512" spans="1:27" s="4" customFormat="1" ht="51.95" customHeight="1">
      <c r="A512" s="5">
        <v>0</v>
      </c>
      <c r="B512" s="6" t="s">
        <v>3355</v>
      </c>
      <c r="C512" s="13">
        <v>1330</v>
      </c>
      <c r="D512" s="8" t="s">
        <v>3356</v>
      </c>
      <c r="E512" s="8" t="s">
        <v>3357</v>
      </c>
      <c r="F512" s="8" t="s">
        <v>1492</v>
      </c>
      <c r="G512" s="6" t="s">
        <v>67</v>
      </c>
      <c r="H512" s="6" t="s">
        <v>53</v>
      </c>
      <c r="I512" s="8" t="s">
        <v>3358</v>
      </c>
      <c r="J512" s="9">
        <v>1</v>
      </c>
      <c r="K512" s="9">
        <v>294</v>
      </c>
      <c r="L512" s="9">
        <v>2023</v>
      </c>
      <c r="M512" s="8" t="s">
        <v>3359</v>
      </c>
      <c r="N512" s="8" t="s">
        <v>56</v>
      </c>
      <c r="O512" s="8" t="s">
        <v>57</v>
      </c>
      <c r="P512" s="6" t="s">
        <v>69</v>
      </c>
      <c r="Q512" s="8" t="s">
        <v>58</v>
      </c>
      <c r="R512" s="10" t="s">
        <v>3360</v>
      </c>
      <c r="S512" s="11" t="s">
        <v>3361</v>
      </c>
      <c r="T512" s="6"/>
      <c r="U512" s="27" t="str">
        <f>HYPERLINK("https://media.infra-m.ru/2007/2007874/cover/2007874.jpg", "Обложка")</f>
        <v>Обложка</v>
      </c>
      <c r="V512" s="27" t="str">
        <f>HYPERLINK("https://znanium.com/catalog/product/1910633", "Ознакомиться")</f>
        <v>Ознакомиться</v>
      </c>
      <c r="W512" s="8" t="s">
        <v>261</v>
      </c>
      <c r="X512" s="6"/>
      <c r="Y512" s="6"/>
      <c r="Z512" s="6"/>
      <c r="AA512" s="6" t="s">
        <v>226</v>
      </c>
    </row>
    <row r="513" spans="1:27" s="4" customFormat="1" ht="51.95" customHeight="1">
      <c r="A513" s="5">
        <v>0</v>
      </c>
      <c r="B513" s="6" t="s">
        <v>3362</v>
      </c>
      <c r="C513" s="13">
        <v>1724.9</v>
      </c>
      <c r="D513" s="8" t="s">
        <v>3363</v>
      </c>
      <c r="E513" s="8" t="s">
        <v>3364</v>
      </c>
      <c r="F513" s="8" t="s">
        <v>3365</v>
      </c>
      <c r="G513" s="6" t="s">
        <v>37</v>
      </c>
      <c r="H513" s="6" t="s">
        <v>53</v>
      </c>
      <c r="I513" s="8" t="s">
        <v>148</v>
      </c>
      <c r="J513" s="9">
        <v>1</v>
      </c>
      <c r="K513" s="9">
        <v>384</v>
      </c>
      <c r="L513" s="9">
        <v>2023</v>
      </c>
      <c r="M513" s="8" t="s">
        <v>3366</v>
      </c>
      <c r="N513" s="8" t="s">
        <v>56</v>
      </c>
      <c r="O513" s="8" t="s">
        <v>57</v>
      </c>
      <c r="P513" s="6" t="s">
        <v>42</v>
      </c>
      <c r="Q513" s="8" t="s">
        <v>43</v>
      </c>
      <c r="R513" s="10" t="s">
        <v>241</v>
      </c>
      <c r="S513" s="11"/>
      <c r="T513" s="6"/>
      <c r="U513" s="27" t="str">
        <f>HYPERLINK("https://media.infra-m.ru/1981/1981597/cover/1981597.jpg", "Обложка")</f>
        <v>Обложка</v>
      </c>
      <c r="V513" s="27" t="str">
        <f>HYPERLINK("https://znanium.com/catalog/product/1015077", "Ознакомиться")</f>
        <v>Ознакомиться</v>
      </c>
      <c r="W513" s="8" t="s">
        <v>517</v>
      </c>
      <c r="X513" s="6"/>
      <c r="Y513" s="6"/>
      <c r="Z513" s="6"/>
      <c r="AA513" s="6" t="s">
        <v>84</v>
      </c>
    </row>
    <row r="514" spans="1:27" s="4" customFormat="1" ht="42" customHeight="1">
      <c r="A514" s="5">
        <v>0</v>
      </c>
      <c r="B514" s="6" t="s">
        <v>3367</v>
      </c>
      <c r="C514" s="13">
        <v>1230</v>
      </c>
      <c r="D514" s="8" t="s">
        <v>3368</v>
      </c>
      <c r="E514" s="8" t="s">
        <v>3369</v>
      </c>
      <c r="F514" s="8" t="s">
        <v>3370</v>
      </c>
      <c r="G514" s="6" t="s">
        <v>67</v>
      </c>
      <c r="H514" s="6" t="s">
        <v>53</v>
      </c>
      <c r="I514" s="8" t="s">
        <v>114</v>
      </c>
      <c r="J514" s="9">
        <v>1</v>
      </c>
      <c r="K514" s="9">
        <v>267</v>
      </c>
      <c r="L514" s="9">
        <v>2024</v>
      </c>
      <c r="M514" s="8" t="s">
        <v>3371</v>
      </c>
      <c r="N514" s="8" t="s">
        <v>56</v>
      </c>
      <c r="O514" s="8" t="s">
        <v>57</v>
      </c>
      <c r="P514" s="6" t="s">
        <v>116</v>
      </c>
      <c r="Q514" s="8" t="s">
        <v>81</v>
      </c>
      <c r="R514" s="10" t="s">
        <v>1245</v>
      </c>
      <c r="S514" s="11"/>
      <c r="T514" s="6" t="s">
        <v>277</v>
      </c>
      <c r="U514" s="27" t="str">
        <f>HYPERLINK("https://media.infra-m.ru/2082/2082167/cover/2082167.jpg", "Обложка")</f>
        <v>Обложка</v>
      </c>
      <c r="V514" s="27" t="str">
        <f>HYPERLINK("https://znanium.com/catalog/product/2082167", "Ознакомиться")</f>
        <v>Ознакомиться</v>
      </c>
      <c r="W514" s="8" t="s">
        <v>91</v>
      </c>
      <c r="X514" s="6"/>
      <c r="Y514" s="6"/>
      <c r="Z514" s="6"/>
      <c r="AA514" s="6" t="s">
        <v>84</v>
      </c>
    </row>
    <row r="515" spans="1:27" s="4" customFormat="1" ht="51.95" customHeight="1">
      <c r="A515" s="5">
        <v>0</v>
      </c>
      <c r="B515" s="6" t="s">
        <v>3372</v>
      </c>
      <c r="C515" s="13">
        <v>1490</v>
      </c>
      <c r="D515" s="8" t="s">
        <v>3373</v>
      </c>
      <c r="E515" s="8" t="s">
        <v>3374</v>
      </c>
      <c r="F515" s="8" t="s">
        <v>1137</v>
      </c>
      <c r="G515" s="6" t="s">
        <v>37</v>
      </c>
      <c r="H515" s="6" t="s">
        <v>53</v>
      </c>
      <c r="I515" s="8" t="s">
        <v>165</v>
      </c>
      <c r="J515" s="9">
        <v>1</v>
      </c>
      <c r="K515" s="9">
        <v>374</v>
      </c>
      <c r="L515" s="9">
        <v>2022</v>
      </c>
      <c r="M515" s="8" t="s">
        <v>3375</v>
      </c>
      <c r="N515" s="8" t="s">
        <v>56</v>
      </c>
      <c r="O515" s="8" t="s">
        <v>57</v>
      </c>
      <c r="P515" s="6" t="s">
        <v>69</v>
      </c>
      <c r="Q515" s="8" t="s">
        <v>43</v>
      </c>
      <c r="R515" s="10" t="s">
        <v>285</v>
      </c>
      <c r="S515" s="11" t="s">
        <v>3376</v>
      </c>
      <c r="T515" s="6"/>
      <c r="U515" s="27" t="str">
        <f>HYPERLINK("https://media.infra-m.ru/1077/1077327/cover/1077327.jpg", "Обложка")</f>
        <v>Обложка</v>
      </c>
      <c r="V515" s="27" t="str">
        <f>HYPERLINK("https://znanium.com/catalog/product/1077327", "Ознакомиться")</f>
        <v>Ознакомиться</v>
      </c>
      <c r="W515" s="8" t="s">
        <v>1140</v>
      </c>
      <c r="X515" s="6"/>
      <c r="Y515" s="6"/>
      <c r="Z515" s="6"/>
      <c r="AA515" s="6" t="s">
        <v>226</v>
      </c>
    </row>
    <row r="516" spans="1:27" s="4" customFormat="1" ht="51.95" customHeight="1">
      <c r="A516" s="5">
        <v>0</v>
      </c>
      <c r="B516" s="6" t="s">
        <v>3377</v>
      </c>
      <c r="C516" s="13">
        <v>1780</v>
      </c>
      <c r="D516" s="8" t="s">
        <v>3378</v>
      </c>
      <c r="E516" s="8" t="s">
        <v>3379</v>
      </c>
      <c r="F516" s="8" t="s">
        <v>3182</v>
      </c>
      <c r="G516" s="6" t="s">
        <v>67</v>
      </c>
      <c r="H516" s="6" t="s">
        <v>53</v>
      </c>
      <c r="I516" s="8" t="s">
        <v>165</v>
      </c>
      <c r="J516" s="9">
        <v>1</v>
      </c>
      <c r="K516" s="9">
        <v>395</v>
      </c>
      <c r="L516" s="9">
        <v>2023</v>
      </c>
      <c r="M516" s="8" t="s">
        <v>3380</v>
      </c>
      <c r="N516" s="8" t="s">
        <v>56</v>
      </c>
      <c r="O516" s="8" t="s">
        <v>57</v>
      </c>
      <c r="P516" s="6" t="s">
        <v>69</v>
      </c>
      <c r="Q516" s="8" t="s">
        <v>43</v>
      </c>
      <c r="R516" s="10" t="s">
        <v>3381</v>
      </c>
      <c r="S516" s="11" t="s">
        <v>3382</v>
      </c>
      <c r="T516" s="6" t="s">
        <v>277</v>
      </c>
      <c r="U516" s="27" t="str">
        <f>HYPERLINK("https://media.infra-m.ru/1939/1939099/cover/1939099.jpg", "Обложка")</f>
        <v>Обложка</v>
      </c>
      <c r="V516" s="27" t="str">
        <f>HYPERLINK("https://znanium.com/catalog/product/1939099", "Ознакомиться")</f>
        <v>Ознакомиться</v>
      </c>
      <c r="W516" s="8" t="s">
        <v>1350</v>
      </c>
      <c r="X516" s="6"/>
      <c r="Y516" s="6"/>
      <c r="Z516" s="6"/>
      <c r="AA516" s="6" t="s">
        <v>417</v>
      </c>
    </row>
    <row r="517" spans="1:27" s="4" customFormat="1" ht="51.95" customHeight="1">
      <c r="A517" s="5">
        <v>0</v>
      </c>
      <c r="B517" s="6" t="s">
        <v>3383</v>
      </c>
      <c r="C517" s="13">
        <v>1590</v>
      </c>
      <c r="D517" s="8" t="s">
        <v>3384</v>
      </c>
      <c r="E517" s="8" t="s">
        <v>3385</v>
      </c>
      <c r="F517" s="8" t="s">
        <v>3386</v>
      </c>
      <c r="G517" s="6" t="s">
        <v>67</v>
      </c>
      <c r="H517" s="6" t="s">
        <v>53</v>
      </c>
      <c r="I517" s="8" t="s">
        <v>165</v>
      </c>
      <c r="J517" s="9">
        <v>1</v>
      </c>
      <c r="K517" s="9">
        <v>352</v>
      </c>
      <c r="L517" s="9">
        <v>2023</v>
      </c>
      <c r="M517" s="8" t="s">
        <v>3387</v>
      </c>
      <c r="N517" s="8" t="s">
        <v>56</v>
      </c>
      <c r="O517" s="8" t="s">
        <v>57</v>
      </c>
      <c r="P517" s="6" t="s">
        <v>69</v>
      </c>
      <c r="Q517" s="8" t="s">
        <v>43</v>
      </c>
      <c r="R517" s="10" t="s">
        <v>1602</v>
      </c>
      <c r="S517" s="11" t="s">
        <v>3388</v>
      </c>
      <c r="T517" s="6" t="s">
        <v>277</v>
      </c>
      <c r="U517" s="27" t="str">
        <f>HYPERLINK("https://media.infra-m.ru/1939/1939100/cover/1939100.jpg", "Обложка")</f>
        <v>Обложка</v>
      </c>
      <c r="V517" s="27" t="str">
        <f>HYPERLINK("https://znanium.com/catalog/product/1939100", "Ознакомиться")</f>
        <v>Ознакомиться</v>
      </c>
      <c r="W517" s="8" t="s">
        <v>134</v>
      </c>
      <c r="X517" s="6"/>
      <c r="Y517" s="6"/>
      <c r="Z517" s="6"/>
      <c r="AA517" s="6" t="s">
        <v>253</v>
      </c>
    </row>
    <row r="518" spans="1:27" s="4" customFormat="1" ht="42" customHeight="1">
      <c r="A518" s="5">
        <v>0</v>
      </c>
      <c r="B518" s="6" t="s">
        <v>3389</v>
      </c>
      <c r="C518" s="13">
        <v>1224.9000000000001</v>
      </c>
      <c r="D518" s="8" t="s">
        <v>3390</v>
      </c>
      <c r="E518" s="8" t="s">
        <v>3391</v>
      </c>
      <c r="F518" s="8" t="s">
        <v>3392</v>
      </c>
      <c r="G518" s="6" t="s">
        <v>37</v>
      </c>
      <c r="H518" s="6" t="s">
        <v>104</v>
      </c>
      <c r="I518" s="8"/>
      <c r="J518" s="9">
        <v>1</v>
      </c>
      <c r="K518" s="9">
        <v>272</v>
      </c>
      <c r="L518" s="9">
        <v>2023</v>
      </c>
      <c r="M518" s="8" t="s">
        <v>3393</v>
      </c>
      <c r="N518" s="8" t="s">
        <v>56</v>
      </c>
      <c r="O518" s="8" t="s">
        <v>57</v>
      </c>
      <c r="P518" s="6" t="s">
        <v>42</v>
      </c>
      <c r="Q518" s="8" t="s">
        <v>43</v>
      </c>
      <c r="R518" s="10" t="s">
        <v>3394</v>
      </c>
      <c r="S518" s="11"/>
      <c r="T518" s="6"/>
      <c r="U518" s="27" t="str">
        <f>HYPERLINK("https://media.infra-m.ru/2044/2044350/cover/2044350.jpg", "Обложка")</f>
        <v>Обложка</v>
      </c>
      <c r="V518" s="27" t="str">
        <f>HYPERLINK("https://znanium.com/catalog/product/1039244", "Ознакомиться")</f>
        <v>Ознакомиться</v>
      </c>
      <c r="W518" s="8" t="s">
        <v>134</v>
      </c>
      <c r="X518" s="6"/>
      <c r="Y518" s="6"/>
      <c r="Z518" s="6"/>
      <c r="AA518" s="6" t="s">
        <v>208</v>
      </c>
    </row>
    <row r="519" spans="1:27" s="4" customFormat="1" ht="51.95" customHeight="1">
      <c r="A519" s="5">
        <v>0</v>
      </c>
      <c r="B519" s="6" t="s">
        <v>3395</v>
      </c>
      <c r="C519" s="13">
        <v>1894</v>
      </c>
      <c r="D519" s="8" t="s">
        <v>3396</v>
      </c>
      <c r="E519" s="8" t="s">
        <v>3397</v>
      </c>
      <c r="F519" s="8" t="s">
        <v>3398</v>
      </c>
      <c r="G519" s="6" t="s">
        <v>37</v>
      </c>
      <c r="H519" s="6" t="s">
        <v>53</v>
      </c>
      <c r="I519" s="8" t="s">
        <v>165</v>
      </c>
      <c r="J519" s="9">
        <v>1</v>
      </c>
      <c r="K519" s="9">
        <v>412</v>
      </c>
      <c r="L519" s="9">
        <v>2023</v>
      </c>
      <c r="M519" s="8" t="s">
        <v>3399</v>
      </c>
      <c r="N519" s="8" t="s">
        <v>56</v>
      </c>
      <c r="O519" s="8" t="s">
        <v>57</v>
      </c>
      <c r="P519" s="6" t="s">
        <v>69</v>
      </c>
      <c r="Q519" s="8" t="s">
        <v>43</v>
      </c>
      <c r="R519" s="10" t="s">
        <v>275</v>
      </c>
      <c r="S519" s="11" t="s">
        <v>3400</v>
      </c>
      <c r="T519" s="6"/>
      <c r="U519" s="27" t="str">
        <f>HYPERLINK("https://media.infra-m.ru/2045/2045826/cover/2045826.jpg", "Обложка")</f>
        <v>Обложка</v>
      </c>
      <c r="V519" s="27" t="str">
        <f>HYPERLINK("https://znanium.com/catalog/product/1010108", "Ознакомиться")</f>
        <v>Ознакомиться</v>
      </c>
      <c r="W519" s="8" t="s">
        <v>72</v>
      </c>
      <c r="X519" s="6"/>
      <c r="Y519" s="6"/>
      <c r="Z519" s="6"/>
      <c r="AA519" s="6" t="s">
        <v>795</v>
      </c>
    </row>
    <row r="520" spans="1:27" s="4" customFormat="1" ht="51.95" customHeight="1">
      <c r="A520" s="5">
        <v>0</v>
      </c>
      <c r="B520" s="6" t="s">
        <v>3401</v>
      </c>
      <c r="C520" s="7">
        <v>974</v>
      </c>
      <c r="D520" s="8" t="s">
        <v>3402</v>
      </c>
      <c r="E520" s="8" t="s">
        <v>3403</v>
      </c>
      <c r="F520" s="8" t="s">
        <v>3404</v>
      </c>
      <c r="G520" s="6" t="s">
        <v>52</v>
      </c>
      <c r="H520" s="6" t="s">
        <v>53</v>
      </c>
      <c r="I520" s="8" t="s">
        <v>114</v>
      </c>
      <c r="J520" s="9">
        <v>1</v>
      </c>
      <c r="K520" s="9">
        <v>211</v>
      </c>
      <c r="L520" s="9">
        <v>2024</v>
      </c>
      <c r="M520" s="8" t="s">
        <v>3405</v>
      </c>
      <c r="N520" s="8" t="s">
        <v>56</v>
      </c>
      <c r="O520" s="8" t="s">
        <v>57</v>
      </c>
      <c r="P520" s="6" t="s">
        <v>116</v>
      </c>
      <c r="Q520" s="8" t="s">
        <v>81</v>
      </c>
      <c r="R520" s="10" t="s">
        <v>1627</v>
      </c>
      <c r="S520" s="11"/>
      <c r="T520" s="6"/>
      <c r="U520" s="27" t="str">
        <f>HYPERLINK("https://media.infra-m.ru/2086/2086863/cover/2086863.jpg", "Обложка")</f>
        <v>Обложка</v>
      </c>
      <c r="V520" s="27" t="str">
        <f>HYPERLINK("https://znanium.com/catalog/product/1094522", "Ознакомиться")</f>
        <v>Ознакомиться</v>
      </c>
      <c r="W520" s="8" t="s">
        <v>1350</v>
      </c>
      <c r="X520" s="6"/>
      <c r="Y520" s="6"/>
      <c r="Z520" s="6"/>
      <c r="AA520" s="6" t="s">
        <v>47</v>
      </c>
    </row>
    <row r="521" spans="1:27" s="4" customFormat="1" ht="51.95" customHeight="1">
      <c r="A521" s="5">
        <v>0</v>
      </c>
      <c r="B521" s="6" t="s">
        <v>3406</v>
      </c>
      <c r="C521" s="13">
        <v>1374</v>
      </c>
      <c r="D521" s="8" t="s">
        <v>3407</v>
      </c>
      <c r="E521" s="8" t="s">
        <v>3408</v>
      </c>
      <c r="F521" s="8" t="s">
        <v>3409</v>
      </c>
      <c r="G521" s="6" t="s">
        <v>37</v>
      </c>
      <c r="H521" s="6" t="s">
        <v>939</v>
      </c>
      <c r="I521" s="8" t="s">
        <v>1067</v>
      </c>
      <c r="J521" s="9">
        <v>1</v>
      </c>
      <c r="K521" s="9">
        <v>304</v>
      </c>
      <c r="L521" s="9">
        <v>2023</v>
      </c>
      <c r="M521" s="8" t="s">
        <v>3410</v>
      </c>
      <c r="N521" s="8" t="s">
        <v>56</v>
      </c>
      <c r="O521" s="8" t="s">
        <v>57</v>
      </c>
      <c r="P521" s="6" t="s">
        <v>42</v>
      </c>
      <c r="Q521" s="8" t="s">
        <v>654</v>
      </c>
      <c r="R521" s="10" t="s">
        <v>3411</v>
      </c>
      <c r="S521" s="11" t="s">
        <v>2961</v>
      </c>
      <c r="T521" s="6"/>
      <c r="U521" s="27" t="str">
        <f>HYPERLINK("https://media.infra-m.ru/1895/1895096/cover/1895096.jpg", "Обложка")</f>
        <v>Обложка</v>
      </c>
      <c r="V521" s="12"/>
      <c r="W521" s="8" t="s">
        <v>3412</v>
      </c>
      <c r="X521" s="6"/>
      <c r="Y521" s="6"/>
      <c r="Z521" s="6"/>
      <c r="AA521" s="6" t="s">
        <v>301</v>
      </c>
    </row>
    <row r="522" spans="1:27" s="4" customFormat="1" ht="44.1" customHeight="1">
      <c r="A522" s="5">
        <v>0</v>
      </c>
      <c r="B522" s="6" t="s">
        <v>3413</v>
      </c>
      <c r="C522" s="13">
        <v>1110</v>
      </c>
      <c r="D522" s="8" t="s">
        <v>3414</v>
      </c>
      <c r="E522" s="8" t="s">
        <v>3415</v>
      </c>
      <c r="F522" s="8" t="s">
        <v>3416</v>
      </c>
      <c r="G522" s="6" t="s">
        <v>52</v>
      </c>
      <c r="H522" s="6" t="s">
        <v>98</v>
      </c>
      <c r="I522" s="8" t="s">
        <v>114</v>
      </c>
      <c r="J522" s="9">
        <v>1</v>
      </c>
      <c r="K522" s="9">
        <v>246</v>
      </c>
      <c r="L522" s="9">
        <v>2023</v>
      </c>
      <c r="M522" s="8" t="s">
        <v>3417</v>
      </c>
      <c r="N522" s="8" t="s">
        <v>56</v>
      </c>
      <c r="O522" s="8" t="s">
        <v>57</v>
      </c>
      <c r="P522" s="6" t="s">
        <v>116</v>
      </c>
      <c r="Q522" s="8" t="s">
        <v>81</v>
      </c>
      <c r="R522" s="10" t="s">
        <v>285</v>
      </c>
      <c r="S522" s="11"/>
      <c r="T522" s="6"/>
      <c r="U522" s="27" t="str">
        <f>HYPERLINK("https://media.infra-m.ru/1920/1920370/cover/1920370.jpg", "Обложка")</f>
        <v>Обложка</v>
      </c>
      <c r="V522" s="27" t="str">
        <f>HYPERLINK("https://znanium.com/catalog/product/1920370", "Ознакомиться")</f>
        <v>Ознакомиться</v>
      </c>
      <c r="W522" s="8" t="s">
        <v>1179</v>
      </c>
      <c r="X522" s="6"/>
      <c r="Y522" s="6"/>
      <c r="Z522" s="6"/>
      <c r="AA522" s="6" t="s">
        <v>288</v>
      </c>
    </row>
    <row r="523" spans="1:27" s="4" customFormat="1" ht="42" customHeight="1">
      <c r="A523" s="5">
        <v>0</v>
      </c>
      <c r="B523" s="6" t="s">
        <v>3418</v>
      </c>
      <c r="C523" s="7">
        <v>770</v>
      </c>
      <c r="D523" s="8" t="s">
        <v>3419</v>
      </c>
      <c r="E523" s="8" t="s">
        <v>3420</v>
      </c>
      <c r="F523" s="8" t="s">
        <v>3421</v>
      </c>
      <c r="G523" s="6" t="s">
        <v>37</v>
      </c>
      <c r="H523" s="6" t="s">
        <v>53</v>
      </c>
      <c r="I523" s="8" t="s">
        <v>522</v>
      </c>
      <c r="J523" s="9">
        <v>1</v>
      </c>
      <c r="K523" s="9">
        <v>247</v>
      </c>
      <c r="L523" s="9">
        <v>2018</v>
      </c>
      <c r="M523" s="8" t="s">
        <v>3422</v>
      </c>
      <c r="N523" s="8" t="s">
        <v>56</v>
      </c>
      <c r="O523" s="8" t="s">
        <v>57</v>
      </c>
      <c r="P523" s="6" t="s">
        <v>116</v>
      </c>
      <c r="Q523" s="8" t="s">
        <v>81</v>
      </c>
      <c r="R523" s="10"/>
      <c r="S523" s="11"/>
      <c r="T523" s="6"/>
      <c r="U523" s="27" t="str">
        <f>HYPERLINK("https://media.infra-m.ru/0923/0923705/cover/923705.jpg", "Обложка")</f>
        <v>Обложка</v>
      </c>
      <c r="V523" s="12"/>
      <c r="W523" s="8" t="s">
        <v>524</v>
      </c>
      <c r="X523" s="6"/>
      <c r="Y523" s="6"/>
      <c r="Z523" s="6"/>
      <c r="AA523" s="6" t="s">
        <v>73</v>
      </c>
    </row>
    <row r="524" spans="1:27" s="4" customFormat="1" ht="51.95" customHeight="1">
      <c r="A524" s="5">
        <v>0</v>
      </c>
      <c r="B524" s="6" t="s">
        <v>3423</v>
      </c>
      <c r="C524" s="13">
        <v>1984</v>
      </c>
      <c r="D524" s="8" t="s">
        <v>3424</v>
      </c>
      <c r="E524" s="8" t="s">
        <v>3425</v>
      </c>
      <c r="F524" s="8" t="s">
        <v>587</v>
      </c>
      <c r="G524" s="6" t="s">
        <v>37</v>
      </c>
      <c r="H524" s="6" t="s">
        <v>867</v>
      </c>
      <c r="I524" s="8"/>
      <c r="J524" s="9">
        <v>1</v>
      </c>
      <c r="K524" s="9">
        <v>432</v>
      </c>
      <c r="L524" s="9">
        <v>2024</v>
      </c>
      <c r="M524" s="8" t="s">
        <v>3426</v>
      </c>
      <c r="N524" s="8" t="s">
        <v>56</v>
      </c>
      <c r="O524" s="8" t="s">
        <v>57</v>
      </c>
      <c r="P524" s="6" t="s">
        <v>42</v>
      </c>
      <c r="Q524" s="8" t="s">
        <v>43</v>
      </c>
      <c r="R524" s="10" t="s">
        <v>1728</v>
      </c>
      <c r="S524" s="11"/>
      <c r="T524" s="6"/>
      <c r="U524" s="27" t="str">
        <f>HYPERLINK("https://media.infra-m.ru/2104/2104272/cover/2104272.jpg", "Обложка")</f>
        <v>Обложка</v>
      </c>
      <c r="V524" s="12"/>
      <c r="W524" s="8" t="s">
        <v>591</v>
      </c>
      <c r="X524" s="6"/>
      <c r="Y524" s="6"/>
      <c r="Z524" s="6"/>
      <c r="AA524" s="6" t="s">
        <v>592</v>
      </c>
    </row>
    <row r="525" spans="1:27" s="4" customFormat="1" ht="51.95" customHeight="1">
      <c r="A525" s="5">
        <v>0</v>
      </c>
      <c r="B525" s="6" t="s">
        <v>3427</v>
      </c>
      <c r="C525" s="7">
        <v>454.9</v>
      </c>
      <c r="D525" s="8" t="s">
        <v>3428</v>
      </c>
      <c r="E525" s="8" t="s">
        <v>3429</v>
      </c>
      <c r="F525" s="8" t="s">
        <v>695</v>
      </c>
      <c r="G525" s="6" t="s">
        <v>52</v>
      </c>
      <c r="H525" s="6" t="s">
        <v>98</v>
      </c>
      <c r="I525" s="8" t="s">
        <v>832</v>
      </c>
      <c r="J525" s="9">
        <v>1</v>
      </c>
      <c r="K525" s="9">
        <v>205</v>
      </c>
      <c r="L525" s="9">
        <v>2020</v>
      </c>
      <c r="M525" s="8" t="s">
        <v>3430</v>
      </c>
      <c r="N525" s="8" t="s">
        <v>56</v>
      </c>
      <c r="O525" s="8" t="s">
        <v>57</v>
      </c>
      <c r="P525" s="6" t="s">
        <v>42</v>
      </c>
      <c r="Q525" s="8" t="s">
        <v>43</v>
      </c>
      <c r="R525" s="10" t="s">
        <v>3431</v>
      </c>
      <c r="S525" s="11"/>
      <c r="T525" s="6"/>
      <c r="U525" s="27" t="str">
        <f>HYPERLINK("https://media.infra-m.ru/1068/1068845/cover/1068845.jpg", "Обложка")</f>
        <v>Обложка</v>
      </c>
      <c r="V525" s="27" t="str">
        <f>HYPERLINK("https://znanium.com/catalog/product/927501", "Ознакомиться")</f>
        <v>Ознакомиться</v>
      </c>
      <c r="W525" s="8" t="s">
        <v>698</v>
      </c>
      <c r="X525" s="6"/>
      <c r="Y525" s="6"/>
      <c r="Z525" s="6"/>
      <c r="AA525" s="6" t="s">
        <v>1306</v>
      </c>
    </row>
    <row r="526" spans="1:27" s="4" customFormat="1" ht="51.95" customHeight="1">
      <c r="A526" s="5">
        <v>0</v>
      </c>
      <c r="B526" s="6" t="s">
        <v>3432</v>
      </c>
      <c r="C526" s="13">
        <v>1084.9000000000001</v>
      </c>
      <c r="D526" s="8" t="s">
        <v>3433</v>
      </c>
      <c r="E526" s="8" t="s">
        <v>3429</v>
      </c>
      <c r="F526" s="8" t="s">
        <v>3434</v>
      </c>
      <c r="G526" s="6" t="s">
        <v>37</v>
      </c>
      <c r="H526" s="6" t="s">
        <v>38</v>
      </c>
      <c r="I526" s="8"/>
      <c r="J526" s="9">
        <v>1</v>
      </c>
      <c r="K526" s="9">
        <v>240</v>
      </c>
      <c r="L526" s="9">
        <v>2023</v>
      </c>
      <c r="M526" s="8" t="s">
        <v>3435</v>
      </c>
      <c r="N526" s="8" t="s">
        <v>56</v>
      </c>
      <c r="O526" s="8" t="s">
        <v>57</v>
      </c>
      <c r="P526" s="6" t="s">
        <v>42</v>
      </c>
      <c r="Q526" s="8" t="s">
        <v>43</v>
      </c>
      <c r="R526" s="10" t="s">
        <v>3436</v>
      </c>
      <c r="S526" s="11"/>
      <c r="T526" s="6"/>
      <c r="U526" s="27" t="str">
        <f>HYPERLINK("https://media.infra-m.ru/1971/1971824/cover/1971824.jpg", "Обложка")</f>
        <v>Обложка</v>
      </c>
      <c r="V526" s="27" t="str">
        <f>HYPERLINK("https://znanium.com/catalog/product/2095599", "Ознакомиться")</f>
        <v>Ознакомиться</v>
      </c>
      <c r="W526" s="8" t="s">
        <v>46</v>
      </c>
      <c r="X526" s="6"/>
      <c r="Y526" s="6"/>
      <c r="Z526" s="6"/>
      <c r="AA526" s="6" t="s">
        <v>47</v>
      </c>
    </row>
    <row r="527" spans="1:27" s="4" customFormat="1" ht="51.95" customHeight="1">
      <c r="A527" s="5">
        <v>0</v>
      </c>
      <c r="B527" s="6" t="s">
        <v>3437</v>
      </c>
      <c r="C527" s="7">
        <v>684.9</v>
      </c>
      <c r="D527" s="8" t="s">
        <v>3438</v>
      </c>
      <c r="E527" s="8" t="s">
        <v>3439</v>
      </c>
      <c r="F527" s="8" t="s">
        <v>3440</v>
      </c>
      <c r="G527" s="6" t="s">
        <v>52</v>
      </c>
      <c r="H527" s="6" t="s">
        <v>385</v>
      </c>
      <c r="I527" s="8"/>
      <c r="J527" s="9">
        <v>1</v>
      </c>
      <c r="K527" s="9">
        <v>152</v>
      </c>
      <c r="L527" s="9">
        <v>2023</v>
      </c>
      <c r="M527" s="8" t="s">
        <v>3441</v>
      </c>
      <c r="N527" s="8" t="s">
        <v>56</v>
      </c>
      <c r="O527" s="8" t="s">
        <v>57</v>
      </c>
      <c r="P527" s="6" t="s">
        <v>80</v>
      </c>
      <c r="Q527" s="8" t="s">
        <v>81</v>
      </c>
      <c r="R527" s="10" t="s">
        <v>3442</v>
      </c>
      <c r="S527" s="11"/>
      <c r="T527" s="6"/>
      <c r="U527" s="27" t="str">
        <f>HYPERLINK("https://media.infra-m.ru/1911/1911153/cover/1911153.jpg", "Обложка")</f>
        <v>Обложка</v>
      </c>
      <c r="V527" s="27" t="str">
        <f>HYPERLINK("https://znanium.com/catalog/product/1210075", "Ознакомиться")</f>
        <v>Ознакомиться</v>
      </c>
      <c r="W527" s="8" t="s">
        <v>539</v>
      </c>
      <c r="X527" s="6"/>
      <c r="Y527" s="6"/>
      <c r="Z527" s="6"/>
      <c r="AA527" s="6" t="s">
        <v>208</v>
      </c>
    </row>
    <row r="528" spans="1:27" s="4" customFormat="1" ht="51.95" customHeight="1">
      <c r="A528" s="5">
        <v>0</v>
      </c>
      <c r="B528" s="6" t="s">
        <v>3443</v>
      </c>
      <c r="C528" s="13">
        <v>1034.9000000000001</v>
      </c>
      <c r="D528" s="8" t="s">
        <v>3444</v>
      </c>
      <c r="E528" s="8" t="s">
        <v>3445</v>
      </c>
      <c r="F528" s="8" t="s">
        <v>3446</v>
      </c>
      <c r="G528" s="6" t="s">
        <v>52</v>
      </c>
      <c r="H528" s="6" t="s">
        <v>53</v>
      </c>
      <c r="I528" s="8" t="s">
        <v>78</v>
      </c>
      <c r="J528" s="9">
        <v>1</v>
      </c>
      <c r="K528" s="9">
        <v>231</v>
      </c>
      <c r="L528" s="9">
        <v>2023</v>
      </c>
      <c r="M528" s="8" t="s">
        <v>3447</v>
      </c>
      <c r="N528" s="8" t="s">
        <v>56</v>
      </c>
      <c r="O528" s="8" t="s">
        <v>57</v>
      </c>
      <c r="P528" s="6" t="s">
        <v>80</v>
      </c>
      <c r="Q528" s="8" t="s">
        <v>43</v>
      </c>
      <c r="R528" s="10" t="s">
        <v>275</v>
      </c>
      <c r="S528" s="11" t="s">
        <v>3448</v>
      </c>
      <c r="T528" s="6" t="s">
        <v>277</v>
      </c>
      <c r="U528" s="27" t="str">
        <f>HYPERLINK("https://media.infra-m.ru/1913/1913023/cover/1913023.jpg", "Обложка")</f>
        <v>Обложка</v>
      </c>
      <c r="V528" s="27" t="str">
        <f>HYPERLINK("https://znanium.com/catalog/product/1042589", "Ознакомиться")</f>
        <v>Ознакомиться</v>
      </c>
      <c r="W528" s="8" t="s">
        <v>1748</v>
      </c>
      <c r="X528" s="6"/>
      <c r="Y528" s="6"/>
      <c r="Z528" s="6"/>
      <c r="AA528" s="6" t="s">
        <v>253</v>
      </c>
    </row>
    <row r="529" spans="1:27" s="4" customFormat="1" ht="42" customHeight="1">
      <c r="A529" s="5">
        <v>0</v>
      </c>
      <c r="B529" s="6" t="s">
        <v>3449</v>
      </c>
      <c r="C529" s="7">
        <v>980</v>
      </c>
      <c r="D529" s="8" t="s">
        <v>3450</v>
      </c>
      <c r="E529" s="8" t="s">
        <v>3451</v>
      </c>
      <c r="F529" s="8" t="s">
        <v>3452</v>
      </c>
      <c r="G529" s="6" t="s">
        <v>52</v>
      </c>
      <c r="H529" s="6" t="s">
        <v>98</v>
      </c>
      <c r="I529" s="8" t="s">
        <v>114</v>
      </c>
      <c r="J529" s="9">
        <v>1</v>
      </c>
      <c r="K529" s="9">
        <v>213</v>
      </c>
      <c r="L529" s="9">
        <v>2024</v>
      </c>
      <c r="M529" s="8" t="s">
        <v>3453</v>
      </c>
      <c r="N529" s="8" t="s">
        <v>56</v>
      </c>
      <c r="O529" s="8" t="s">
        <v>57</v>
      </c>
      <c r="P529" s="6" t="s">
        <v>116</v>
      </c>
      <c r="Q529" s="8" t="s">
        <v>81</v>
      </c>
      <c r="R529" s="10" t="s">
        <v>3454</v>
      </c>
      <c r="S529" s="11"/>
      <c r="T529" s="6"/>
      <c r="U529" s="27" t="str">
        <f>HYPERLINK("https://media.infra-m.ru/1877/1877533/cover/1877533.jpg", "Обложка")</f>
        <v>Обложка</v>
      </c>
      <c r="V529" s="12"/>
      <c r="W529" s="8" t="s">
        <v>3455</v>
      </c>
      <c r="X529" s="6"/>
      <c r="Y529" s="6"/>
      <c r="Z529" s="6"/>
      <c r="AA529" s="6" t="s">
        <v>226</v>
      </c>
    </row>
    <row r="530" spans="1:27" s="4" customFormat="1" ht="51.95" customHeight="1">
      <c r="A530" s="5">
        <v>0</v>
      </c>
      <c r="B530" s="6" t="s">
        <v>3456</v>
      </c>
      <c r="C530" s="7">
        <v>774.9</v>
      </c>
      <c r="D530" s="8" t="s">
        <v>3457</v>
      </c>
      <c r="E530" s="8" t="s">
        <v>3458</v>
      </c>
      <c r="F530" s="8" t="s">
        <v>3459</v>
      </c>
      <c r="G530" s="6" t="s">
        <v>52</v>
      </c>
      <c r="H530" s="6" t="s">
        <v>53</v>
      </c>
      <c r="I530" s="8" t="s">
        <v>114</v>
      </c>
      <c r="J530" s="9">
        <v>1</v>
      </c>
      <c r="K530" s="9">
        <v>198</v>
      </c>
      <c r="L530" s="9">
        <v>2022</v>
      </c>
      <c r="M530" s="8" t="s">
        <v>3460</v>
      </c>
      <c r="N530" s="8" t="s">
        <v>56</v>
      </c>
      <c r="O530" s="8" t="s">
        <v>57</v>
      </c>
      <c r="P530" s="6" t="s">
        <v>116</v>
      </c>
      <c r="Q530" s="8" t="s">
        <v>81</v>
      </c>
      <c r="R530" s="10" t="s">
        <v>117</v>
      </c>
      <c r="S530" s="11"/>
      <c r="T530" s="6"/>
      <c r="U530" s="27" t="str">
        <f>HYPERLINK("https://media.infra-m.ru/1852/1852200/cover/1852200.jpg", "Обложка")</f>
        <v>Обложка</v>
      </c>
      <c r="V530" s="27" t="str">
        <f>HYPERLINK("https://znanium.com/catalog/product/1852200", "Ознакомиться")</f>
        <v>Ознакомиться</v>
      </c>
      <c r="W530" s="8" t="s">
        <v>3461</v>
      </c>
      <c r="X530" s="6"/>
      <c r="Y530" s="6"/>
      <c r="Z530" s="6"/>
      <c r="AA530" s="6" t="s">
        <v>47</v>
      </c>
    </row>
    <row r="531" spans="1:27" s="4" customFormat="1" ht="42" customHeight="1">
      <c r="A531" s="5">
        <v>0</v>
      </c>
      <c r="B531" s="6" t="s">
        <v>3462</v>
      </c>
      <c r="C531" s="7">
        <v>834</v>
      </c>
      <c r="D531" s="8" t="s">
        <v>3463</v>
      </c>
      <c r="E531" s="8" t="s">
        <v>3464</v>
      </c>
      <c r="F531" s="8" t="s">
        <v>3465</v>
      </c>
      <c r="G531" s="6" t="s">
        <v>52</v>
      </c>
      <c r="H531" s="6" t="s">
        <v>53</v>
      </c>
      <c r="I531" s="8" t="s">
        <v>114</v>
      </c>
      <c r="J531" s="9">
        <v>1</v>
      </c>
      <c r="K531" s="9">
        <v>179</v>
      </c>
      <c r="L531" s="9">
        <v>2023</v>
      </c>
      <c r="M531" s="8" t="s">
        <v>3466</v>
      </c>
      <c r="N531" s="8" t="s">
        <v>56</v>
      </c>
      <c r="O531" s="8" t="s">
        <v>57</v>
      </c>
      <c r="P531" s="6" t="s">
        <v>116</v>
      </c>
      <c r="Q531" s="8" t="s">
        <v>81</v>
      </c>
      <c r="R531" s="10" t="s">
        <v>132</v>
      </c>
      <c r="S531" s="11"/>
      <c r="T531" s="6" t="s">
        <v>277</v>
      </c>
      <c r="U531" s="27" t="str">
        <f>HYPERLINK("https://media.infra-m.ru/2099/2099595/cover/2099595.jpg", "Обложка")</f>
        <v>Обложка</v>
      </c>
      <c r="V531" s="27" t="str">
        <f>HYPERLINK("https://znanium.com/catalog/product/1905228", "Ознакомиться")</f>
        <v>Ознакомиться</v>
      </c>
      <c r="W531" s="8" t="s">
        <v>3467</v>
      </c>
      <c r="X531" s="6"/>
      <c r="Y531" s="6"/>
      <c r="Z531" s="6"/>
      <c r="AA531" s="6" t="s">
        <v>47</v>
      </c>
    </row>
    <row r="532" spans="1:27" s="4" customFormat="1" ht="51.95" customHeight="1">
      <c r="A532" s="5">
        <v>0</v>
      </c>
      <c r="B532" s="6" t="s">
        <v>3468</v>
      </c>
      <c r="C532" s="7">
        <v>640</v>
      </c>
      <c r="D532" s="8" t="s">
        <v>3469</v>
      </c>
      <c r="E532" s="8" t="s">
        <v>3470</v>
      </c>
      <c r="F532" s="8" t="s">
        <v>3471</v>
      </c>
      <c r="G532" s="6" t="s">
        <v>52</v>
      </c>
      <c r="H532" s="6" t="s">
        <v>53</v>
      </c>
      <c r="I532" s="8" t="s">
        <v>114</v>
      </c>
      <c r="J532" s="9">
        <v>1</v>
      </c>
      <c r="K532" s="9">
        <v>152</v>
      </c>
      <c r="L532" s="9">
        <v>2022</v>
      </c>
      <c r="M532" s="8" t="s">
        <v>3472</v>
      </c>
      <c r="N532" s="8" t="s">
        <v>56</v>
      </c>
      <c r="O532" s="8" t="s">
        <v>57</v>
      </c>
      <c r="P532" s="6" t="s">
        <v>116</v>
      </c>
      <c r="Q532" s="8" t="s">
        <v>81</v>
      </c>
      <c r="R532" s="10" t="s">
        <v>3473</v>
      </c>
      <c r="S532" s="11"/>
      <c r="T532" s="6"/>
      <c r="U532" s="27" t="str">
        <f>HYPERLINK("https://media.infra-m.ru/1880/1880588/cover/1880588.jpg", "Обложка")</f>
        <v>Обложка</v>
      </c>
      <c r="V532" s="27" t="str">
        <f>HYPERLINK("https://znanium.com/catalog/product/1880588", "Ознакомиться")</f>
        <v>Ознакомиться</v>
      </c>
      <c r="W532" s="8" t="s">
        <v>1596</v>
      </c>
      <c r="X532" s="6"/>
      <c r="Y532" s="6"/>
      <c r="Z532" s="6"/>
      <c r="AA532" s="6" t="s">
        <v>208</v>
      </c>
    </row>
    <row r="533" spans="1:27" s="4" customFormat="1" ht="51.95" customHeight="1">
      <c r="A533" s="5">
        <v>0</v>
      </c>
      <c r="B533" s="6" t="s">
        <v>3474</v>
      </c>
      <c r="C533" s="7">
        <v>874.9</v>
      </c>
      <c r="D533" s="8" t="s">
        <v>3475</v>
      </c>
      <c r="E533" s="8" t="s">
        <v>3476</v>
      </c>
      <c r="F533" s="8" t="s">
        <v>3477</v>
      </c>
      <c r="G533" s="6" t="s">
        <v>37</v>
      </c>
      <c r="H533" s="6" t="s">
        <v>239</v>
      </c>
      <c r="I533" s="8"/>
      <c r="J533" s="9">
        <v>1</v>
      </c>
      <c r="K533" s="9">
        <v>256</v>
      </c>
      <c r="L533" s="9">
        <v>2019</v>
      </c>
      <c r="M533" s="8" t="s">
        <v>3478</v>
      </c>
      <c r="N533" s="8" t="s">
        <v>56</v>
      </c>
      <c r="O533" s="8" t="s">
        <v>57</v>
      </c>
      <c r="P533" s="6" t="s">
        <v>116</v>
      </c>
      <c r="Q533" s="8" t="s">
        <v>81</v>
      </c>
      <c r="R533" s="10" t="s">
        <v>3479</v>
      </c>
      <c r="S533" s="11"/>
      <c r="T533" s="6"/>
      <c r="U533" s="27" t="str">
        <f>HYPERLINK("https://media.infra-m.ru/1012/1012445/cover/1012445.jpg", "Обложка")</f>
        <v>Обложка</v>
      </c>
      <c r="V533" s="27" t="str">
        <f>HYPERLINK("https://znanium.com/catalog/product/1012445", "Ознакомиться")</f>
        <v>Ознакомиться</v>
      </c>
      <c r="W533" s="8" t="s">
        <v>46</v>
      </c>
      <c r="X533" s="6"/>
      <c r="Y533" s="6"/>
      <c r="Z533" s="6"/>
      <c r="AA533" s="6" t="s">
        <v>208</v>
      </c>
    </row>
    <row r="534" spans="1:27" s="4" customFormat="1" ht="51.95" customHeight="1">
      <c r="A534" s="5">
        <v>0</v>
      </c>
      <c r="B534" s="6" t="s">
        <v>3480</v>
      </c>
      <c r="C534" s="13">
        <v>1410</v>
      </c>
      <c r="D534" s="8" t="s">
        <v>3481</v>
      </c>
      <c r="E534" s="8" t="s">
        <v>3482</v>
      </c>
      <c r="F534" s="8" t="s">
        <v>36</v>
      </c>
      <c r="G534" s="6" t="s">
        <v>67</v>
      </c>
      <c r="H534" s="6" t="s">
        <v>53</v>
      </c>
      <c r="I534" s="8" t="s">
        <v>191</v>
      </c>
      <c r="J534" s="9">
        <v>1</v>
      </c>
      <c r="K534" s="9">
        <v>305</v>
      </c>
      <c r="L534" s="9">
        <v>2024</v>
      </c>
      <c r="M534" s="8" t="s">
        <v>3483</v>
      </c>
      <c r="N534" s="8" t="s">
        <v>40</v>
      </c>
      <c r="O534" s="8" t="s">
        <v>41</v>
      </c>
      <c r="P534" s="6" t="s">
        <v>42</v>
      </c>
      <c r="Q534" s="8" t="s">
        <v>43</v>
      </c>
      <c r="R534" s="10" t="s">
        <v>44</v>
      </c>
      <c r="S534" s="11" t="s">
        <v>3484</v>
      </c>
      <c r="T534" s="6" t="s">
        <v>277</v>
      </c>
      <c r="U534" s="27" t="str">
        <f>HYPERLINK("https://media.infra-m.ru/2080/2080466/cover/2080466.jpg", "Обложка")</f>
        <v>Обложка</v>
      </c>
      <c r="V534" s="27" t="str">
        <f>HYPERLINK("https://znanium.com/catalog/product/2080466", "Ознакомиться")</f>
        <v>Ознакомиться</v>
      </c>
      <c r="W534" s="8" t="s">
        <v>46</v>
      </c>
      <c r="X534" s="6"/>
      <c r="Y534" s="6"/>
      <c r="Z534" s="6"/>
      <c r="AA534" s="6" t="s">
        <v>242</v>
      </c>
    </row>
    <row r="535" spans="1:27" s="4" customFormat="1" ht="51.95" customHeight="1">
      <c r="A535" s="5">
        <v>0</v>
      </c>
      <c r="B535" s="6" t="s">
        <v>3485</v>
      </c>
      <c r="C535" s="13">
        <v>1380</v>
      </c>
      <c r="D535" s="8" t="s">
        <v>3486</v>
      </c>
      <c r="E535" s="8" t="s">
        <v>3487</v>
      </c>
      <c r="F535" s="8" t="s">
        <v>36</v>
      </c>
      <c r="G535" s="6" t="s">
        <v>67</v>
      </c>
      <c r="H535" s="6" t="s">
        <v>53</v>
      </c>
      <c r="I535" s="8" t="s">
        <v>652</v>
      </c>
      <c r="J535" s="9">
        <v>1</v>
      </c>
      <c r="K535" s="9">
        <v>305</v>
      </c>
      <c r="L535" s="9">
        <v>2023</v>
      </c>
      <c r="M535" s="8" t="s">
        <v>3488</v>
      </c>
      <c r="N535" s="8" t="s">
        <v>40</v>
      </c>
      <c r="O535" s="8" t="s">
        <v>41</v>
      </c>
      <c r="P535" s="6" t="s">
        <v>42</v>
      </c>
      <c r="Q535" s="8" t="s">
        <v>654</v>
      </c>
      <c r="R535" s="10" t="s">
        <v>3489</v>
      </c>
      <c r="S535" s="11" t="s">
        <v>3490</v>
      </c>
      <c r="T535" s="6" t="s">
        <v>277</v>
      </c>
      <c r="U535" s="27" t="str">
        <f>HYPERLINK("https://media.infra-m.ru/1981/1981642/cover/1981642.jpg", "Обложка")</f>
        <v>Обложка</v>
      </c>
      <c r="V535" s="27" t="str">
        <f>HYPERLINK("https://znanium.com/catalog/product/1981642", "Ознакомиться")</f>
        <v>Ознакомиться</v>
      </c>
      <c r="W535" s="8" t="s">
        <v>46</v>
      </c>
      <c r="X535" s="6"/>
      <c r="Y535" s="6"/>
      <c r="Z535" s="6" t="s">
        <v>657</v>
      </c>
      <c r="AA535" s="6" t="s">
        <v>143</v>
      </c>
    </row>
    <row r="536" spans="1:27" s="4" customFormat="1" ht="51.95" customHeight="1">
      <c r="A536" s="5">
        <v>0</v>
      </c>
      <c r="B536" s="6" t="s">
        <v>3491</v>
      </c>
      <c r="C536" s="7">
        <v>584</v>
      </c>
      <c r="D536" s="8" t="s">
        <v>3492</v>
      </c>
      <c r="E536" s="8" t="s">
        <v>3493</v>
      </c>
      <c r="F536" s="8" t="s">
        <v>3494</v>
      </c>
      <c r="G536" s="6" t="s">
        <v>52</v>
      </c>
      <c r="H536" s="6" t="s">
        <v>53</v>
      </c>
      <c r="I536" s="8" t="s">
        <v>165</v>
      </c>
      <c r="J536" s="9">
        <v>1</v>
      </c>
      <c r="K536" s="9">
        <v>128</v>
      </c>
      <c r="L536" s="9">
        <v>2023</v>
      </c>
      <c r="M536" s="8" t="s">
        <v>3495</v>
      </c>
      <c r="N536" s="8" t="s">
        <v>56</v>
      </c>
      <c r="O536" s="8" t="s">
        <v>57</v>
      </c>
      <c r="P536" s="6" t="s">
        <v>42</v>
      </c>
      <c r="Q536" s="8" t="s">
        <v>43</v>
      </c>
      <c r="R536" s="10" t="s">
        <v>3496</v>
      </c>
      <c r="S536" s="11" t="s">
        <v>3497</v>
      </c>
      <c r="T536" s="6"/>
      <c r="U536" s="27" t="str">
        <f>HYPERLINK("https://media.infra-m.ru/2016/2016338/cover/2016338.jpg", "Обложка")</f>
        <v>Обложка</v>
      </c>
      <c r="V536" s="27" t="str">
        <f>HYPERLINK("https://znanium.com/catalog/product/1150321", "Ознакомиться")</f>
        <v>Ознакомиться</v>
      </c>
      <c r="W536" s="8" t="s">
        <v>2878</v>
      </c>
      <c r="X536" s="6"/>
      <c r="Y536" s="6"/>
      <c r="Z536" s="6"/>
      <c r="AA536" s="6" t="s">
        <v>62</v>
      </c>
    </row>
    <row r="537" spans="1:27" s="4" customFormat="1" ht="42" customHeight="1">
      <c r="A537" s="5">
        <v>0</v>
      </c>
      <c r="B537" s="6" t="s">
        <v>3498</v>
      </c>
      <c r="C537" s="13">
        <v>2490</v>
      </c>
      <c r="D537" s="8" t="s">
        <v>3499</v>
      </c>
      <c r="E537" s="8" t="s">
        <v>3500</v>
      </c>
      <c r="F537" s="8" t="s">
        <v>3501</v>
      </c>
      <c r="G537" s="6" t="s">
        <v>37</v>
      </c>
      <c r="H537" s="6" t="s">
        <v>53</v>
      </c>
      <c r="I537" s="8" t="s">
        <v>231</v>
      </c>
      <c r="J537" s="9">
        <v>1</v>
      </c>
      <c r="K537" s="9">
        <v>600</v>
      </c>
      <c r="L537" s="9">
        <v>2023</v>
      </c>
      <c r="M537" s="8" t="s">
        <v>3502</v>
      </c>
      <c r="N537" s="8" t="s">
        <v>56</v>
      </c>
      <c r="O537" s="8" t="s">
        <v>57</v>
      </c>
      <c r="P537" s="6" t="s">
        <v>116</v>
      </c>
      <c r="Q537" s="8" t="s">
        <v>81</v>
      </c>
      <c r="R537" s="10" t="s">
        <v>599</v>
      </c>
      <c r="S537" s="11"/>
      <c r="T537" s="6"/>
      <c r="U537" s="27" t="str">
        <f>HYPERLINK("https://media.infra-m.ru/1963/1963277/cover/1963277.jpg", "Обложка")</f>
        <v>Обложка</v>
      </c>
      <c r="V537" s="27" t="str">
        <f>HYPERLINK("https://znanium.com/catalog/product/1963277", "Ознакомиться")</f>
        <v>Ознакомиться</v>
      </c>
      <c r="W537" s="8" t="s">
        <v>735</v>
      </c>
      <c r="X537" s="6" t="s">
        <v>903</v>
      </c>
      <c r="Y537" s="6"/>
      <c r="Z537" s="6"/>
      <c r="AA537" s="6" t="s">
        <v>93</v>
      </c>
    </row>
    <row r="538" spans="1:27" s="4" customFormat="1" ht="44.1" customHeight="1">
      <c r="A538" s="5">
        <v>0</v>
      </c>
      <c r="B538" s="6" t="s">
        <v>3503</v>
      </c>
      <c r="C538" s="7">
        <v>960</v>
      </c>
      <c r="D538" s="8" t="s">
        <v>3504</v>
      </c>
      <c r="E538" s="8" t="s">
        <v>3505</v>
      </c>
      <c r="F538" s="8" t="s">
        <v>3506</v>
      </c>
      <c r="G538" s="6" t="s">
        <v>52</v>
      </c>
      <c r="H538" s="6" t="s">
        <v>53</v>
      </c>
      <c r="I538" s="8" t="s">
        <v>3283</v>
      </c>
      <c r="J538" s="9">
        <v>1</v>
      </c>
      <c r="K538" s="9">
        <v>207</v>
      </c>
      <c r="L538" s="9">
        <v>2024</v>
      </c>
      <c r="M538" s="8" t="s">
        <v>3507</v>
      </c>
      <c r="N538" s="8" t="s">
        <v>56</v>
      </c>
      <c r="O538" s="8" t="s">
        <v>57</v>
      </c>
      <c r="P538" s="6" t="s">
        <v>116</v>
      </c>
      <c r="Q538" s="8" t="s">
        <v>81</v>
      </c>
      <c r="R538" s="10" t="s">
        <v>3285</v>
      </c>
      <c r="S538" s="11"/>
      <c r="T538" s="6"/>
      <c r="U538" s="27" t="str">
        <f>HYPERLINK("https://media.infra-m.ru/2080/2080768/cover/2080768.jpg", "Обложка")</f>
        <v>Обложка</v>
      </c>
      <c r="V538" s="27" t="str">
        <f>HYPERLINK("https://znanium.com/catalog/product/2080768", "Ознакомиться")</f>
        <v>Ознакомиться</v>
      </c>
      <c r="W538" s="8" t="s">
        <v>3508</v>
      </c>
      <c r="X538" s="6"/>
      <c r="Y538" s="6"/>
      <c r="Z538" s="6"/>
      <c r="AA538" s="6" t="s">
        <v>226</v>
      </c>
    </row>
    <row r="539" spans="1:27" s="4" customFormat="1" ht="51.95" customHeight="1">
      <c r="A539" s="5">
        <v>0</v>
      </c>
      <c r="B539" s="6" t="s">
        <v>3509</v>
      </c>
      <c r="C539" s="13">
        <v>1094.9000000000001</v>
      </c>
      <c r="D539" s="8" t="s">
        <v>3510</v>
      </c>
      <c r="E539" s="8" t="s">
        <v>3511</v>
      </c>
      <c r="F539" s="8" t="s">
        <v>3512</v>
      </c>
      <c r="G539" s="6" t="s">
        <v>37</v>
      </c>
      <c r="H539" s="6" t="s">
        <v>53</v>
      </c>
      <c r="I539" s="8" t="s">
        <v>165</v>
      </c>
      <c r="J539" s="9">
        <v>1</v>
      </c>
      <c r="K539" s="9">
        <v>288</v>
      </c>
      <c r="L539" s="9">
        <v>2022</v>
      </c>
      <c r="M539" s="8" t="s">
        <v>3513</v>
      </c>
      <c r="N539" s="8" t="s">
        <v>56</v>
      </c>
      <c r="O539" s="8" t="s">
        <v>57</v>
      </c>
      <c r="P539" s="6" t="s">
        <v>69</v>
      </c>
      <c r="Q539" s="8" t="s">
        <v>43</v>
      </c>
      <c r="R539" s="10" t="s">
        <v>3514</v>
      </c>
      <c r="S539" s="11" t="s">
        <v>3515</v>
      </c>
      <c r="T539" s="6"/>
      <c r="U539" s="27" t="str">
        <f>HYPERLINK("https://media.infra-m.ru/1840/1840935/cover/1840935.jpg", "Обложка")</f>
        <v>Обложка</v>
      </c>
      <c r="V539" s="27" t="str">
        <f>HYPERLINK("https://znanium.com/catalog/product/1840935", "Ознакомиться")</f>
        <v>Ознакомиться</v>
      </c>
      <c r="W539" s="8" t="s">
        <v>3516</v>
      </c>
      <c r="X539" s="6"/>
      <c r="Y539" s="6"/>
      <c r="Z539" s="6"/>
      <c r="AA539" s="6" t="s">
        <v>208</v>
      </c>
    </row>
    <row r="540" spans="1:27" s="4" customFormat="1" ht="42" customHeight="1">
      <c r="A540" s="5">
        <v>0</v>
      </c>
      <c r="B540" s="6" t="s">
        <v>3517</v>
      </c>
      <c r="C540" s="7">
        <v>614.9</v>
      </c>
      <c r="D540" s="8" t="s">
        <v>3518</v>
      </c>
      <c r="E540" s="8" t="s">
        <v>3511</v>
      </c>
      <c r="F540" s="8" t="s">
        <v>3519</v>
      </c>
      <c r="G540" s="6" t="s">
        <v>52</v>
      </c>
      <c r="H540" s="6" t="s">
        <v>239</v>
      </c>
      <c r="I540" s="8"/>
      <c r="J540" s="9">
        <v>1</v>
      </c>
      <c r="K540" s="9">
        <v>128</v>
      </c>
      <c r="L540" s="9">
        <v>2022</v>
      </c>
      <c r="M540" s="8" t="s">
        <v>3520</v>
      </c>
      <c r="N540" s="8" t="s">
        <v>56</v>
      </c>
      <c r="O540" s="8" t="s">
        <v>57</v>
      </c>
      <c r="P540" s="6" t="s">
        <v>42</v>
      </c>
      <c r="Q540" s="8" t="s">
        <v>43</v>
      </c>
      <c r="R540" s="10" t="s">
        <v>1245</v>
      </c>
      <c r="S540" s="11"/>
      <c r="T540" s="6"/>
      <c r="U540" s="27" t="str">
        <f>HYPERLINK("https://media.infra-m.ru/1864/1864119/cover/1864119.jpg", "Обложка")</f>
        <v>Обложка</v>
      </c>
      <c r="V540" s="27" t="str">
        <f>HYPERLINK("https://znanium.com/catalog/product/1089636", "Ознакомиться")</f>
        <v>Ознакомиться</v>
      </c>
      <c r="W540" s="8" t="s">
        <v>1014</v>
      </c>
      <c r="X540" s="6"/>
      <c r="Y540" s="6"/>
      <c r="Z540" s="6"/>
      <c r="AA540" s="6" t="s">
        <v>601</v>
      </c>
    </row>
    <row r="541" spans="1:27" s="4" customFormat="1" ht="51.95" customHeight="1">
      <c r="A541" s="5">
        <v>0</v>
      </c>
      <c r="B541" s="6" t="s">
        <v>3521</v>
      </c>
      <c r="C541" s="7">
        <v>574</v>
      </c>
      <c r="D541" s="8" t="s">
        <v>3522</v>
      </c>
      <c r="E541" s="8" t="s">
        <v>3523</v>
      </c>
      <c r="F541" s="8" t="s">
        <v>3524</v>
      </c>
      <c r="G541" s="6" t="s">
        <v>52</v>
      </c>
      <c r="H541" s="6" t="s">
        <v>53</v>
      </c>
      <c r="I541" s="8" t="s">
        <v>165</v>
      </c>
      <c r="J541" s="9">
        <v>1</v>
      </c>
      <c r="K541" s="9">
        <v>127</v>
      </c>
      <c r="L541" s="9">
        <v>2023</v>
      </c>
      <c r="M541" s="8" t="s">
        <v>3525</v>
      </c>
      <c r="N541" s="8" t="s">
        <v>56</v>
      </c>
      <c r="O541" s="8" t="s">
        <v>57</v>
      </c>
      <c r="P541" s="6" t="s">
        <v>42</v>
      </c>
      <c r="Q541" s="8" t="s">
        <v>43</v>
      </c>
      <c r="R541" s="10" t="s">
        <v>3526</v>
      </c>
      <c r="S541" s="11" t="s">
        <v>3527</v>
      </c>
      <c r="T541" s="6"/>
      <c r="U541" s="27" t="str">
        <f>HYPERLINK("https://media.infra-m.ru/2002/2002623/cover/2002623.jpg", "Обложка")</f>
        <v>Обложка</v>
      </c>
      <c r="V541" s="27" t="str">
        <f>HYPERLINK("https://znanium.com/catalog/product/1091077", "Ознакомиться")</f>
        <v>Ознакомиться</v>
      </c>
      <c r="W541" s="8" t="s">
        <v>3528</v>
      </c>
      <c r="X541" s="6"/>
      <c r="Y541" s="6"/>
      <c r="Z541" s="6"/>
      <c r="AA541" s="6" t="s">
        <v>288</v>
      </c>
    </row>
    <row r="542" spans="1:27" s="4" customFormat="1" ht="42" customHeight="1">
      <c r="A542" s="5">
        <v>0</v>
      </c>
      <c r="B542" s="6" t="s">
        <v>3529</v>
      </c>
      <c r="C542" s="13">
        <v>1300</v>
      </c>
      <c r="D542" s="8" t="s">
        <v>3530</v>
      </c>
      <c r="E542" s="8" t="s">
        <v>3531</v>
      </c>
      <c r="F542" s="8" t="s">
        <v>1583</v>
      </c>
      <c r="G542" s="6" t="s">
        <v>52</v>
      </c>
      <c r="H542" s="6" t="s">
        <v>53</v>
      </c>
      <c r="I542" s="8" t="s">
        <v>114</v>
      </c>
      <c r="J542" s="9">
        <v>1</v>
      </c>
      <c r="K542" s="9">
        <v>343</v>
      </c>
      <c r="L542" s="9">
        <v>2022</v>
      </c>
      <c r="M542" s="8" t="s">
        <v>3532</v>
      </c>
      <c r="N542" s="8" t="s">
        <v>56</v>
      </c>
      <c r="O542" s="8" t="s">
        <v>57</v>
      </c>
      <c r="P542" s="6" t="s">
        <v>116</v>
      </c>
      <c r="Q542" s="8" t="s">
        <v>81</v>
      </c>
      <c r="R542" s="10" t="s">
        <v>1232</v>
      </c>
      <c r="S542" s="11"/>
      <c r="T542" s="6"/>
      <c r="U542" s="27" t="str">
        <f>HYPERLINK("https://media.infra-m.ru/1689/1689626/cover/1689626.jpg", "Обложка")</f>
        <v>Обложка</v>
      </c>
      <c r="V542" s="27" t="str">
        <f>HYPERLINK("https://znanium.com/catalog/product/1689626", "Ознакомиться")</f>
        <v>Ознакомиться</v>
      </c>
      <c r="W542" s="8" t="s">
        <v>524</v>
      </c>
      <c r="X542" s="6"/>
      <c r="Y542" s="6"/>
      <c r="Z542" s="6"/>
      <c r="AA542" s="6" t="s">
        <v>253</v>
      </c>
    </row>
    <row r="543" spans="1:27" s="4" customFormat="1" ht="44.1" customHeight="1">
      <c r="A543" s="5">
        <v>0</v>
      </c>
      <c r="B543" s="6" t="s">
        <v>3533</v>
      </c>
      <c r="C543" s="7">
        <v>660</v>
      </c>
      <c r="D543" s="8" t="s">
        <v>3534</v>
      </c>
      <c r="E543" s="8" t="s">
        <v>3535</v>
      </c>
      <c r="F543" s="8" t="s">
        <v>3536</v>
      </c>
      <c r="G543" s="6" t="s">
        <v>52</v>
      </c>
      <c r="H543" s="6" t="s">
        <v>98</v>
      </c>
      <c r="I543" s="8" t="s">
        <v>78</v>
      </c>
      <c r="J543" s="9">
        <v>1</v>
      </c>
      <c r="K543" s="9">
        <v>128</v>
      </c>
      <c r="L543" s="9">
        <v>2024</v>
      </c>
      <c r="M543" s="8" t="s">
        <v>3537</v>
      </c>
      <c r="N543" s="8" t="s">
        <v>56</v>
      </c>
      <c r="O543" s="8" t="s">
        <v>57</v>
      </c>
      <c r="P543" s="6" t="s">
        <v>80</v>
      </c>
      <c r="Q543" s="8" t="s">
        <v>81</v>
      </c>
      <c r="R543" s="10" t="s">
        <v>480</v>
      </c>
      <c r="S543" s="11"/>
      <c r="T543" s="6"/>
      <c r="U543" s="27" t="str">
        <f>HYPERLINK("https://media.infra-m.ru/2107/2107416/cover/2107416.jpg", "Обложка")</f>
        <v>Обложка</v>
      </c>
      <c r="V543" s="27" t="str">
        <f>HYPERLINK("https://znanium.com/catalog/product/2107416", "Ознакомиться")</f>
        <v>Ознакомиться</v>
      </c>
      <c r="W543" s="8"/>
      <c r="X543" s="6"/>
      <c r="Y543" s="6"/>
      <c r="Z543" s="6"/>
      <c r="AA543" s="6" t="s">
        <v>208</v>
      </c>
    </row>
    <row r="544" spans="1:27" s="4" customFormat="1" ht="51.95" customHeight="1">
      <c r="A544" s="5">
        <v>0</v>
      </c>
      <c r="B544" s="6" t="s">
        <v>3538</v>
      </c>
      <c r="C544" s="7">
        <v>900</v>
      </c>
      <c r="D544" s="8" t="s">
        <v>3539</v>
      </c>
      <c r="E544" s="8" t="s">
        <v>3540</v>
      </c>
      <c r="F544" s="8" t="s">
        <v>3541</v>
      </c>
      <c r="G544" s="6" t="s">
        <v>52</v>
      </c>
      <c r="H544" s="6" t="s">
        <v>38</v>
      </c>
      <c r="I544" s="8" t="s">
        <v>1110</v>
      </c>
      <c r="J544" s="9">
        <v>1</v>
      </c>
      <c r="K544" s="9">
        <v>256</v>
      </c>
      <c r="L544" s="9">
        <v>2020</v>
      </c>
      <c r="M544" s="8" t="s">
        <v>3542</v>
      </c>
      <c r="N544" s="8" t="s">
        <v>56</v>
      </c>
      <c r="O544" s="8" t="s">
        <v>57</v>
      </c>
      <c r="P544" s="6" t="s">
        <v>116</v>
      </c>
      <c r="Q544" s="8" t="s">
        <v>81</v>
      </c>
      <c r="R544" s="10" t="s">
        <v>3543</v>
      </c>
      <c r="S544" s="11"/>
      <c r="T544" s="6"/>
      <c r="U544" s="27" t="str">
        <f>HYPERLINK("https://media.infra-m.ru/1044/1044750/cover/1044750.jpg", "Обложка")</f>
        <v>Обложка</v>
      </c>
      <c r="V544" s="27" t="str">
        <f>HYPERLINK("https://znanium.com/catalog/product/1044750", "Ознакомиться")</f>
        <v>Ознакомиться</v>
      </c>
      <c r="W544" s="8"/>
      <c r="X544" s="6"/>
      <c r="Y544" s="6"/>
      <c r="Z544" s="6"/>
      <c r="AA544" s="6" t="s">
        <v>288</v>
      </c>
    </row>
    <row r="545" spans="1:27" s="4" customFormat="1" ht="51.95" customHeight="1">
      <c r="A545" s="5">
        <v>0</v>
      </c>
      <c r="B545" s="6" t="s">
        <v>3544</v>
      </c>
      <c r="C545" s="13">
        <v>1044.9000000000001</v>
      </c>
      <c r="D545" s="8" t="s">
        <v>3545</v>
      </c>
      <c r="E545" s="8" t="s">
        <v>3546</v>
      </c>
      <c r="F545" s="8" t="s">
        <v>3547</v>
      </c>
      <c r="G545" s="6" t="s">
        <v>52</v>
      </c>
      <c r="H545" s="6" t="s">
        <v>53</v>
      </c>
      <c r="I545" s="8" t="s">
        <v>114</v>
      </c>
      <c r="J545" s="9">
        <v>1</v>
      </c>
      <c r="K545" s="9">
        <v>232</v>
      </c>
      <c r="L545" s="9">
        <v>2023</v>
      </c>
      <c r="M545" s="8" t="s">
        <v>3548</v>
      </c>
      <c r="N545" s="8" t="s">
        <v>56</v>
      </c>
      <c r="O545" s="8" t="s">
        <v>57</v>
      </c>
      <c r="P545" s="6" t="s">
        <v>116</v>
      </c>
      <c r="Q545" s="8" t="s">
        <v>81</v>
      </c>
      <c r="R545" s="10" t="s">
        <v>3549</v>
      </c>
      <c r="S545" s="11"/>
      <c r="T545" s="6"/>
      <c r="U545" s="27" t="str">
        <f>HYPERLINK("https://media.infra-m.ru/2045/2045793/cover/2045793.jpg", "Обложка")</f>
        <v>Обложка</v>
      </c>
      <c r="V545" s="27" t="str">
        <f>HYPERLINK("https://znanium.com/catalog/product/1021441", "Ознакомиться")</f>
        <v>Ознакомиться</v>
      </c>
      <c r="W545" s="8" t="s">
        <v>287</v>
      </c>
      <c r="X545" s="6"/>
      <c r="Y545" s="6"/>
      <c r="Z545" s="6"/>
      <c r="AA545" s="6" t="s">
        <v>343</v>
      </c>
    </row>
    <row r="546" spans="1:27" s="4" customFormat="1" ht="51.95" customHeight="1">
      <c r="A546" s="5">
        <v>0</v>
      </c>
      <c r="B546" s="6" t="s">
        <v>3550</v>
      </c>
      <c r="C546" s="7">
        <v>890</v>
      </c>
      <c r="D546" s="8" t="s">
        <v>3551</v>
      </c>
      <c r="E546" s="8" t="s">
        <v>3552</v>
      </c>
      <c r="F546" s="8" t="s">
        <v>3553</v>
      </c>
      <c r="G546" s="6" t="s">
        <v>52</v>
      </c>
      <c r="H546" s="6" t="s">
        <v>53</v>
      </c>
      <c r="I546" s="8" t="s">
        <v>114</v>
      </c>
      <c r="J546" s="9">
        <v>1</v>
      </c>
      <c r="K546" s="9">
        <v>228</v>
      </c>
      <c r="L546" s="9">
        <v>2022</v>
      </c>
      <c r="M546" s="8" t="s">
        <v>3554</v>
      </c>
      <c r="N546" s="8" t="s">
        <v>56</v>
      </c>
      <c r="O546" s="8" t="s">
        <v>57</v>
      </c>
      <c r="P546" s="6" t="s">
        <v>116</v>
      </c>
      <c r="Q546" s="8" t="s">
        <v>81</v>
      </c>
      <c r="R546" s="10" t="s">
        <v>3555</v>
      </c>
      <c r="S546" s="11"/>
      <c r="T546" s="6"/>
      <c r="U546" s="27" t="str">
        <f>HYPERLINK("https://media.infra-m.ru/1816/1816640/cover/1816640.jpg", "Обложка")</f>
        <v>Обложка</v>
      </c>
      <c r="V546" s="27" t="str">
        <f>HYPERLINK("https://znanium.com/catalog/product/1816640", "Ознакомиться")</f>
        <v>Ознакомиться</v>
      </c>
      <c r="W546" s="8" t="s">
        <v>287</v>
      </c>
      <c r="X546" s="6"/>
      <c r="Y546" s="6"/>
      <c r="Z546" s="6"/>
      <c r="AA546" s="6" t="s">
        <v>425</v>
      </c>
    </row>
    <row r="547" spans="1:27" s="4" customFormat="1" ht="51.95" customHeight="1">
      <c r="A547" s="5">
        <v>0</v>
      </c>
      <c r="B547" s="6" t="s">
        <v>3556</v>
      </c>
      <c r="C547" s="7">
        <v>514</v>
      </c>
      <c r="D547" s="8" t="s">
        <v>3557</v>
      </c>
      <c r="E547" s="8" t="s">
        <v>3558</v>
      </c>
      <c r="F547" s="8" t="s">
        <v>3559</v>
      </c>
      <c r="G547" s="6" t="s">
        <v>52</v>
      </c>
      <c r="H547" s="6" t="s">
        <v>53</v>
      </c>
      <c r="I547" s="8" t="s">
        <v>114</v>
      </c>
      <c r="J547" s="9">
        <v>1</v>
      </c>
      <c r="K547" s="9">
        <v>111</v>
      </c>
      <c r="L547" s="9">
        <v>2024</v>
      </c>
      <c r="M547" s="8" t="s">
        <v>3560</v>
      </c>
      <c r="N547" s="8" t="s">
        <v>56</v>
      </c>
      <c r="O547" s="8" t="s">
        <v>57</v>
      </c>
      <c r="P547" s="6" t="s">
        <v>116</v>
      </c>
      <c r="Q547" s="8" t="s">
        <v>81</v>
      </c>
      <c r="R547" s="10" t="s">
        <v>3561</v>
      </c>
      <c r="S547" s="11"/>
      <c r="T547" s="6"/>
      <c r="U547" s="27" t="str">
        <f>HYPERLINK("https://media.infra-m.ru/2063/2063445/cover/2063445.jpg", "Обложка")</f>
        <v>Обложка</v>
      </c>
      <c r="V547" s="27" t="str">
        <f>HYPERLINK("https://znanium.com/catalog/product/1031520", "Ознакомиться")</f>
        <v>Ознакомиться</v>
      </c>
      <c r="W547" s="8" t="s">
        <v>3562</v>
      </c>
      <c r="X547" s="6"/>
      <c r="Y547" s="6"/>
      <c r="Z547" s="6"/>
      <c r="AA547" s="6" t="s">
        <v>540</v>
      </c>
    </row>
    <row r="548" spans="1:27" s="4" customFormat="1" ht="42" customHeight="1">
      <c r="A548" s="5">
        <v>0</v>
      </c>
      <c r="B548" s="6" t="s">
        <v>3563</v>
      </c>
      <c r="C548" s="7">
        <v>820</v>
      </c>
      <c r="D548" s="8" t="s">
        <v>3564</v>
      </c>
      <c r="E548" s="8" t="s">
        <v>3565</v>
      </c>
      <c r="F548" s="8" t="s">
        <v>3566</v>
      </c>
      <c r="G548" s="6" t="s">
        <v>52</v>
      </c>
      <c r="H548" s="6" t="s">
        <v>53</v>
      </c>
      <c r="I548" s="8" t="s">
        <v>114</v>
      </c>
      <c r="J548" s="9">
        <v>1</v>
      </c>
      <c r="K548" s="9">
        <v>233</v>
      </c>
      <c r="L548" s="9">
        <v>2020</v>
      </c>
      <c r="M548" s="8" t="s">
        <v>3567</v>
      </c>
      <c r="N548" s="8" t="s">
        <v>56</v>
      </c>
      <c r="O548" s="8" t="s">
        <v>57</v>
      </c>
      <c r="P548" s="6" t="s">
        <v>116</v>
      </c>
      <c r="Q548" s="8" t="s">
        <v>81</v>
      </c>
      <c r="R548" s="10" t="s">
        <v>2282</v>
      </c>
      <c r="S548" s="11"/>
      <c r="T548" s="6"/>
      <c r="U548" s="27" t="str">
        <f>HYPERLINK("https://media.infra-m.ru/1081/1081000/cover/1081000.jpg", "Обложка")</f>
        <v>Обложка</v>
      </c>
      <c r="V548" s="27" t="str">
        <f>HYPERLINK("https://znanium.com/catalog/product/1081000", "Ознакомиться")</f>
        <v>Ознакомиться</v>
      </c>
      <c r="W548" s="8" t="s">
        <v>3562</v>
      </c>
      <c r="X548" s="6"/>
      <c r="Y548" s="6"/>
      <c r="Z548" s="6"/>
      <c r="AA548" s="6" t="s">
        <v>510</v>
      </c>
    </row>
    <row r="549" spans="1:27" s="4" customFormat="1" ht="51.95" customHeight="1">
      <c r="A549" s="5">
        <v>0</v>
      </c>
      <c r="B549" s="6" t="s">
        <v>3568</v>
      </c>
      <c r="C549" s="13">
        <v>1694</v>
      </c>
      <c r="D549" s="8" t="s">
        <v>3569</v>
      </c>
      <c r="E549" s="8" t="s">
        <v>3570</v>
      </c>
      <c r="F549" s="8" t="s">
        <v>3571</v>
      </c>
      <c r="G549" s="6" t="s">
        <v>37</v>
      </c>
      <c r="H549" s="6" t="s">
        <v>104</v>
      </c>
      <c r="I549" s="8" t="s">
        <v>386</v>
      </c>
      <c r="J549" s="9">
        <v>1</v>
      </c>
      <c r="K549" s="9">
        <v>368</v>
      </c>
      <c r="L549" s="9">
        <v>2024</v>
      </c>
      <c r="M549" s="8" t="s">
        <v>3572</v>
      </c>
      <c r="N549" s="8" t="s">
        <v>56</v>
      </c>
      <c r="O549" s="8" t="s">
        <v>57</v>
      </c>
      <c r="P549" s="6" t="s">
        <v>42</v>
      </c>
      <c r="Q549" s="8" t="s">
        <v>43</v>
      </c>
      <c r="R549" s="10" t="s">
        <v>3573</v>
      </c>
      <c r="S549" s="11"/>
      <c r="T549" s="6"/>
      <c r="U549" s="27" t="str">
        <f>HYPERLINK("https://media.infra-m.ru/2091/2091921/cover/2091921.jpg", "Обложка")</f>
        <v>Обложка</v>
      </c>
      <c r="V549" s="27" t="str">
        <f>HYPERLINK("https://znanium.com/catalog/product/967710", "Ознакомиться")</f>
        <v>Ознакомиться</v>
      </c>
      <c r="W549" s="8" t="s">
        <v>46</v>
      </c>
      <c r="X549" s="6"/>
      <c r="Y549" s="6"/>
      <c r="Z549" s="6"/>
      <c r="AA549" s="6" t="s">
        <v>208</v>
      </c>
    </row>
    <row r="550" spans="1:27" s="4" customFormat="1" ht="42" customHeight="1">
      <c r="A550" s="5">
        <v>0</v>
      </c>
      <c r="B550" s="6" t="s">
        <v>3574</v>
      </c>
      <c r="C550" s="13">
        <v>1180</v>
      </c>
      <c r="D550" s="8" t="s">
        <v>3575</v>
      </c>
      <c r="E550" s="8" t="s">
        <v>3576</v>
      </c>
      <c r="F550" s="8" t="s">
        <v>3577</v>
      </c>
      <c r="G550" s="6" t="s">
        <v>67</v>
      </c>
      <c r="H550" s="6" t="s">
        <v>239</v>
      </c>
      <c r="I550" s="8"/>
      <c r="J550" s="9">
        <v>1</v>
      </c>
      <c r="K550" s="9">
        <v>256</v>
      </c>
      <c r="L550" s="9">
        <v>2024</v>
      </c>
      <c r="M550" s="8" t="s">
        <v>3578</v>
      </c>
      <c r="N550" s="8" t="s">
        <v>56</v>
      </c>
      <c r="O550" s="8" t="s">
        <v>57</v>
      </c>
      <c r="P550" s="6" t="s">
        <v>42</v>
      </c>
      <c r="Q550" s="8" t="s">
        <v>150</v>
      </c>
      <c r="R550" s="10" t="s">
        <v>319</v>
      </c>
      <c r="S550" s="11"/>
      <c r="T550" s="6"/>
      <c r="U550" s="27" t="str">
        <f>HYPERLINK("https://media.infra-m.ru/2079/2079309/cover/2079309.jpg", "Обложка")</f>
        <v>Обложка</v>
      </c>
      <c r="V550" s="27" t="str">
        <f>HYPERLINK("https://znanium.com/catalog/product/2079309", "Ознакомиться")</f>
        <v>Ознакомиться</v>
      </c>
      <c r="W550" s="8" t="s">
        <v>46</v>
      </c>
      <c r="X550" s="6"/>
      <c r="Y550" s="6"/>
      <c r="Z550" s="6"/>
      <c r="AA550" s="6" t="s">
        <v>73</v>
      </c>
    </row>
    <row r="551" spans="1:27" s="4" customFormat="1" ht="44.1" customHeight="1">
      <c r="A551" s="5">
        <v>0</v>
      </c>
      <c r="B551" s="6" t="s">
        <v>3579</v>
      </c>
      <c r="C551" s="7">
        <v>820</v>
      </c>
      <c r="D551" s="8" t="s">
        <v>3580</v>
      </c>
      <c r="E551" s="8" t="s">
        <v>3581</v>
      </c>
      <c r="F551" s="8" t="s">
        <v>3582</v>
      </c>
      <c r="G551" s="6" t="s">
        <v>52</v>
      </c>
      <c r="H551" s="6" t="s">
        <v>53</v>
      </c>
      <c r="I551" s="8" t="s">
        <v>114</v>
      </c>
      <c r="J551" s="9">
        <v>1</v>
      </c>
      <c r="K551" s="9">
        <v>183</v>
      </c>
      <c r="L551" s="9">
        <v>2022</v>
      </c>
      <c r="M551" s="8" t="s">
        <v>3583</v>
      </c>
      <c r="N551" s="8" t="s">
        <v>56</v>
      </c>
      <c r="O551" s="8" t="s">
        <v>57</v>
      </c>
      <c r="P551" s="6" t="s">
        <v>116</v>
      </c>
      <c r="Q551" s="8" t="s">
        <v>81</v>
      </c>
      <c r="R551" s="10" t="s">
        <v>3584</v>
      </c>
      <c r="S551" s="11"/>
      <c r="T551" s="6"/>
      <c r="U551" s="27" t="str">
        <f>HYPERLINK("https://media.infra-m.ru/1842/1842952/cover/1842952.jpg", "Обложка")</f>
        <v>Обложка</v>
      </c>
      <c r="V551" s="27" t="str">
        <f>HYPERLINK("https://znanium.com/catalog/product/1842952", "Ознакомиться")</f>
        <v>Ознакомиться</v>
      </c>
      <c r="W551" s="8" t="s">
        <v>134</v>
      </c>
      <c r="X551" s="6"/>
      <c r="Y551" s="6"/>
      <c r="Z551" s="6"/>
      <c r="AA551" s="6" t="s">
        <v>226</v>
      </c>
    </row>
    <row r="552" spans="1:27" s="4" customFormat="1" ht="51.95" customHeight="1">
      <c r="A552" s="5">
        <v>0</v>
      </c>
      <c r="B552" s="6" t="s">
        <v>3585</v>
      </c>
      <c r="C552" s="13">
        <v>1814.9</v>
      </c>
      <c r="D552" s="8" t="s">
        <v>3586</v>
      </c>
      <c r="E552" s="8" t="s">
        <v>3587</v>
      </c>
      <c r="F552" s="8" t="s">
        <v>3196</v>
      </c>
      <c r="G552" s="6" t="s">
        <v>37</v>
      </c>
      <c r="H552" s="6" t="s">
        <v>53</v>
      </c>
      <c r="I552" s="8" t="s">
        <v>165</v>
      </c>
      <c r="J552" s="9">
        <v>1</v>
      </c>
      <c r="K552" s="9">
        <v>404</v>
      </c>
      <c r="L552" s="9">
        <v>2023</v>
      </c>
      <c r="M552" s="8" t="s">
        <v>3588</v>
      </c>
      <c r="N552" s="8" t="s">
        <v>40</v>
      </c>
      <c r="O552" s="8" t="s">
        <v>41</v>
      </c>
      <c r="P552" s="6" t="s">
        <v>69</v>
      </c>
      <c r="Q552" s="8" t="s">
        <v>43</v>
      </c>
      <c r="R552" s="10" t="s">
        <v>3589</v>
      </c>
      <c r="S552" s="11" t="s">
        <v>3590</v>
      </c>
      <c r="T552" s="6"/>
      <c r="U552" s="27" t="str">
        <f>HYPERLINK("https://media.infra-m.ru/2001/2001668/cover/2001668.jpg", "Обложка")</f>
        <v>Обложка</v>
      </c>
      <c r="V552" s="27" t="str">
        <f>HYPERLINK("https://znanium.com/catalog/product/1815961", "Ознакомиться")</f>
        <v>Ознакомиться</v>
      </c>
      <c r="W552" s="8" t="s">
        <v>1748</v>
      </c>
      <c r="X552" s="6"/>
      <c r="Y552" s="6"/>
      <c r="Z552" s="6"/>
      <c r="AA552" s="6" t="s">
        <v>288</v>
      </c>
    </row>
    <row r="553" spans="1:27" s="4" customFormat="1" ht="51.95" customHeight="1">
      <c r="A553" s="5">
        <v>0</v>
      </c>
      <c r="B553" s="6" t="s">
        <v>3591</v>
      </c>
      <c r="C553" s="13">
        <v>1650</v>
      </c>
      <c r="D553" s="8" t="s">
        <v>3592</v>
      </c>
      <c r="E553" s="8" t="s">
        <v>3593</v>
      </c>
      <c r="F553" s="8" t="s">
        <v>3594</v>
      </c>
      <c r="G553" s="6" t="s">
        <v>1457</v>
      </c>
      <c r="H553" s="6" t="s">
        <v>53</v>
      </c>
      <c r="I553" s="8"/>
      <c r="J553" s="9">
        <v>1</v>
      </c>
      <c r="K553" s="9">
        <v>286</v>
      </c>
      <c r="L553" s="9">
        <v>2023</v>
      </c>
      <c r="M553" s="8" t="s">
        <v>3595</v>
      </c>
      <c r="N553" s="8" t="s">
        <v>56</v>
      </c>
      <c r="O553" s="8" t="s">
        <v>57</v>
      </c>
      <c r="P553" s="6" t="s">
        <v>3596</v>
      </c>
      <c r="Q553" s="8" t="s">
        <v>81</v>
      </c>
      <c r="R553" s="10" t="s">
        <v>1651</v>
      </c>
      <c r="S553" s="11"/>
      <c r="T553" s="6"/>
      <c r="U553" s="27" t="str">
        <f>HYPERLINK("https://media.infra-m.ru/1971/1971838/cover/1971838.jpg", "Обложка")</f>
        <v>Обложка</v>
      </c>
      <c r="V553" s="27" t="str">
        <f>HYPERLINK("https://znanium.com/catalog/product/1971838", "Ознакомиться")</f>
        <v>Ознакомиться</v>
      </c>
      <c r="W553" s="8" t="s">
        <v>287</v>
      </c>
      <c r="X553" s="6"/>
      <c r="Y553" s="6"/>
      <c r="Z553" s="6"/>
      <c r="AA553" s="6" t="s">
        <v>1120</v>
      </c>
    </row>
    <row r="554" spans="1:27" s="4" customFormat="1" ht="51.95" customHeight="1">
      <c r="A554" s="5">
        <v>0</v>
      </c>
      <c r="B554" s="6" t="s">
        <v>3597</v>
      </c>
      <c r="C554" s="7">
        <v>900</v>
      </c>
      <c r="D554" s="8" t="s">
        <v>3598</v>
      </c>
      <c r="E554" s="8" t="s">
        <v>3599</v>
      </c>
      <c r="F554" s="8" t="s">
        <v>3594</v>
      </c>
      <c r="G554" s="6" t="s">
        <v>1457</v>
      </c>
      <c r="H554" s="6" t="s">
        <v>53</v>
      </c>
      <c r="I554" s="8"/>
      <c r="J554" s="9">
        <v>1</v>
      </c>
      <c r="K554" s="9">
        <v>280</v>
      </c>
      <c r="L554" s="9">
        <v>2018</v>
      </c>
      <c r="M554" s="8" t="s">
        <v>3600</v>
      </c>
      <c r="N554" s="8" t="s">
        <v>56</v>
      </c>
      <c r="O554" s="8" t="s">
        <v>57</v>
      </c>
      <c r="P554" s="6" t="s">
        <v>3596</v>
      </c>
      <c r="Q554" s="8" t="s">
        <v>81</v>
      </c>
      <c r="R554" s="10" t="s">
        <v>1651</v>
      </c>
      <c r="S554" s="11"/>
      <c r="T554" s="6"/>
      <c r="U554" s="27" t="str">
        <f>HYPERLINK("https://media.infra-m.ru/0959/0959358/cover/959358.jpg", "Обложка")</f>
        <v>Обложка</v>
      </c>
      <c r="V554" s="27" t="str">
        <f>HYPERLINK("https://znanium.com/catalog/product/1971838", "Ознакомиться")</f>
        <v>Ознакомиться</v>
      </c>
      <c r="W554" s="8" t="s">
        <v>287</v>
      </c>
      <c r="X554" s="6"/>
      <c r="Y554" s="6"/>
      <c r="Z554" s="6"/>
      <c r="AA554" s="6" t="s">
        <v>73</v>
      </c>
    </row>
    <row r="555" spans="1:27" s="4" customFormat="1" ht="51.95" customHeight="1">
      <c r="A555" s="5">
        <v>0</v>
      </c>
      <c r="B555" s="6" t="s">
        <v>3601</v>
      </c>
      <c r="C555" s="13">
        <v>1844</v>
      </c>
      <c r="D555" s="8" t="s">
        <v>3602</v>
      </c>
      <c r="E555" s="8" t="s">
        <v>3603</v>
      </c>
      <c r="F555" s="8" t="s">
        <v>3604</v>
      </c>
      <c r="G555" s="6" t="s">
        <v>37</v>
      </c>
      <c r="H555" s="6" t="s">
        <v>104</v>
      </c>
      <c r="I555" s="8"/>
      <c r="J555" s="9">
        <v>12</v>
      </c>
      <c r="K555" s="9">
        <v>400</v>
      </c>
      <c r="L555" s="9">
        <v>2024</v>
      </c>
      <c r="M555" s="8" t="s">
        <v>3605</v>
      </c>
      <c r="N555" s="8" t="s">
        <v>56</v>
      </c>
      <c r="O555" s="8" t="s">
        <v>57</v>
      </c>
      <c r="P555" s="6" t="s">
        <v>69</v>
      </c>
      <c r="Q555" s="8" t="s">
        <v>43</v>
      </c>
      <c r="R555" s="10" t="s">
        <v>3606</v>
      </c>
      <c r="S555" s="11"/>
      <c r="T555" s="6"/>
      <c r="U555" s="27" t="str">
        <f>HYPERLINK("https://media.infra-m.ru/2063/2063447/cover/2063447.jpg", "Обложка")</f>
        <v>Обложка</v>
      </c>
      <c r="V555" s="27" t="str">
        <f>HYPERLINK("https://znanium.com/catalog/product/1383531", "Ознакомиться")</f>
        <v>Ознакомиться</v>
      </c>
      <c r="W555" s="8" t="s">
        <v>2395</v>
      </c>
      <c r="X555" s="6"/>
      <c r="Y555" s="6"/>
      <c r="Z555" s="6"/>
      <c r="AA555" s="6" t="s">
        <v>540</v>
      </c>
    </row>
    <row r="556" spans="1:27" s="4" customFormat="1" ht="51.95" customHeight="1">
      <c r="A556" s="5">
        <v>0</v>
      </c>
      <c r="B556" s="6" t="s">
        <v>3607</v>
      </c>
      <c r="C556" s="13">
        <v>1794</v>
      </c>
      <c r="D556" s="8" t="s">
        <v>3608</v>
      </c>
      <c r="E556" s="8" t="s">
        <v>3603</v>
      </c>
      <c r="F556" s="8" t="s">
        <v>3609</v>
      </c>
      <c r="G556" s="6" t="s">
        <v>37</v>
      </c>
      <c r="H556" s="6" t="s">
        <v>53</v>
      </c>
      <c r="I556" s="8" t="s">
        <v>652</v>
      </c>
      <c r="J556" s="9">
        <v>1</v>
      </c>
      <c r="K556" s="9">
        <v>397</v>
      </c>
      <c r="L556" s="9">
        <v>2023</v>
      </c>
      <c r="M556" s="8" t="s">
        <v>3610</v>
      </c>
      <c r="N556" s="8" t="s">
        <v>56</v>
      </c>
      <c r="O556" s="8" t="s">
        <v>57</v>
      </c>
      <c r="P556" s="6" t="s">
        <v>69</v>
      </c>
      <c r="Q556" s="8" t="s">
        <v>654</v>
      </c>
      <c r="R556" s="10" t="s">
        <v>3611</v>
      </c>
      <c r="S556" s="11" t="s">
        <v>3612</v>
      </c>
      <c r="T556" s="6"/>
      <c r="U556" s="27" t="str">
        <f>HYPERLINK("https://media.infra-m.ru/2021/2021443/cover/2021443.jpg", "Обложка")</f>
        <v>Обложка</v>
      </c>
      <c r="V556" s="27" t="str">
        <f>HYPERLINK("https://znanium.com/catalog/product/961667", "Ознакомиться")</f>
        <v>Ознакомиться</v>
      </c>
      <c r="W556" s="8" t="s">
        <v>2395</v>
      </c>
      <c r="X556" s="6"/>
      <c r="Y556" s="6"/>
      <c r="Z556" s="6" t="s">
        <v>657</v>
      </c>
      <c r="AA556" s="6" t="s">
        <v>143</v>
      </c>
    </row>
    <row r="557" spans="1:27" s="4" customFormat="1" ht="51.95" customHeight="1">
      <c r="A557" s="5">
        <v>0</v>
      </c>
      <c r="B557" s="6" t="s">
        <v>3613</v>
      </c>
      <c r="C557" s="7">
        <v>350</v>
      </c>
      <c r="D557" s="8" t="s">
        <v>3614</v>
      </c>
      <c r="E557" s="8" t="s">
        <v>3615</v>
      </c>
      <c r="F557" s="8" t="s">
        <v>3616</v>
      </c>
      <c r="G557" s="6" t="s">
        <v>52</v>
      </c>
      <c r="H557" s="6" t="s">
        <v>98</v>
      </c>
      <c r="I557" s="8" t="s">
        <v>114</v>
      </c>
      <c r="J557" s="9">
        <v>1</v>
      </c>
      <c r="K557" s="9">
        <v>137</v>
      </c>
      <c r="L557" s="9">
        <v>2017</v>
      </c>
      <c r="M557" s="8" t="s">
        <v>3617</v>
      </c>
      <c r="N557" s="8" t="s">
        <v>56</v>
      </c>
      <c r="O557" s="8" t="s">
        <v>57</v>
      </c>
      <c r="P557" s="6" t="s">
        <v>116</v>
      </c>
      <c r="Q557" s="8" t="s">
        <v>785</v>
      </c>
      <c r="R557" s="10" t="s">
        <v>3618</v>
      </c>
      <c r="S557" s="11"/>
      <c r="T557" s="6"/>
      <c r="U557" s="27" t="str">
        <f>HYPERLINK("https://media.infra-m.ru/0557/0557168/cover/557168.jpg", "Обложка")</f>
        <v>Обложка</v>
      </c>
      <c r="V557" s="27" t="str">
        <f>HYPERLINK("https://znanium.com/catalog/product/1854964", "Ознакомиться")</f>
        <v>Ознакомиться</v>
      </c>
      <c r="W557" s="8" t="s">
        <v>2314</v>
      </c>
      <c r="X557" s="6"/>
      <c r="Y557" s="6"/>
      <c r="Z557" s="6"/>
      <c r="AA557" s="6" t="s">
        <v>84</v>
      </c>
    </row>
    <row r="558" spans="1:27" s="4" customFormat="1" ht="51.95" customHeight="1">
      <c r="A558" s="5">
        <v>0</v>
      </c>
      <c r="B558" s="6" t="s">
        <v>3619</v>
      </c>
      <c r="C558" s="7">
        <v>590</v>
      </c>
      <c r="D558" s="8" t="s">
        <v>3620</v>
      </c>
      <c r="E558" s="8" t="s">
        <v>3621</v>
      </c>
      <c r="F558" s="8" t="s">
        <v>3616</v>
      </c>
      <c r="G558" s="6" t="s">
        <v>52</v>
      </c>
      <c r="H558" s="6" t="s">
        <v>98</v>
      </c>
      <c r="I558" s="8"/>
      <c r="J558" s="9">
        <v>1</v>
      </c>
      <c r="K558" s="9">
        <v>145</v>
      </c>
      <c r="L558" s="9">
        <v>2022</v>
      </c>
      <c r="M558" s="8" t="s">
        <v>3622</v>
      </c>
      <c r="N558" s="8" t="s">
        <v>56</v>
      </c>
      <c r="O558" s="8" t="s">
        <v>57</v>
      </c>
      <c r="P558" s="6" t="s">
        <v>116</v>
      </c>
      <c r="Q558" s="8" t="s">
        <v>81</v>
      </c>
      <c r="R558" s="10" t="s">
        <v>3618</v>
      </c>
      <c r="S558" s="11"/>
      <c r="T558" s="6"/>
      <c r="U558" s="27" t="str">
        <f>HYPERLINK("https://media.infra-m.ru/1854/1854964/cover/1854964.jpg", "Обложка")</f>
        <v>Обложка</v>
      </c>
      <c r="V558" s="27" t="str">
        <f>HYPERLINK("https://znanium.com/catalog/product/1854964", "Ознакомиться")</f>
        <v>Ознакомиться</v>
      </c>
      <c r="W558" s="8" t="s">
        <v>2314</v>
      </c>
      <c r="X558" s="6"/>
      <c r="Y558" s="6"/>
      <c r="Z558" s="6"/>
      <c r="AA558" s="6" t="s">
        <v>1120</v>
      </c>
    </row>
    <row r="559" spans="1:27" s="4" customFormat="1" ht="51.95" customHeight="1">
      <c r="A559" s="5">
        <v>0</v>
      </c>
      <c r="B559" s="6" t="s">
        <v>3623</v>
      </c>
      <c r="C559" s="13">
        <v>1230</v>
      </c>
      <c r="D559" s="8" t="s">
        <v>3624</v>
      </c>
      <c r="E559" s="8" t="s">
        <v>3625</v>
      </c>
      <c r="F559" s="8" t="s">
        <v>2908</v>
      </c>
      <c r="G559" s="6" t="s">
        <v>37</v>
      </c>
      <c r="H559" s="6" t="s">
        <v>597</v>
      </c>
      <c r="I559" s="8"/>
      <c r="J559" s="9">
        <v>1</v>
      </c>
      <c r="K559" s="9">
        <v>432</v>
      </c>
      <c r="L559" s="9">
        <v>2018</v>
      </c>
      <c r="M559" s="8" t="s">
        <v>3626</v>
      </c>
      <c r="N559" s="8" t="s">
        <v>56</v>
      </c>
      <c r="O559" s="8" t="s">
        <v>57</v>
      </c>
      <c r="P559" s="6" t="s">
        <v>69</v>
      </c>
      <c r="Q559" s="8" t="s">
        <v>43</v>
      </c>
      <c r="R559" s="10" t="s">
        <v>2256</v>
      </c>
      <c r="S559" s="11" t="s">
        <v>3627</v>
      </c>
      <c r="T559" s="6"/>
      <c r="U559" s="27" t="str">
        <f>HYPERLINK("https://media.infra-m.ru/0952/0952104/cover/952104.jpg", "Обложка")</f>
        <v>Обложка</v>
      </c>
      <c r="V559" s="27" t="str">
        <f>HYPERLINK("https://znanium.com/catalog/product/1986688", "Ознакомиться")</f>
        <v>Ознакомиться</v>
      </c>
      <c r="W559" s="8" t="s">
        <v>2257</v>
      </c>
      <c r="X559" s="6"/>
      <c r="Y559" s="6"/>
      <c r="Z559" s="6"/>
      <c r="AA559" s="6" t="s">
        <v>3628</v>
      </c>
    </row>
    <row r="560" spans="1:27" s="4" customFormat="1" ht="51.95" customHeight="1">
      <c r="A560" s="5">
        <v>0</v>
      </c>
      <c r="B560" s="6" t="s">
        <v>3629</v>
      </c>
      <c r="C560" s="13">
        <v>1800</v>
      </c>
      <c r="D560" s="8" t="s">
        <v>3630</v>
      </c>
      <c r="E560" s="8" t="s">
        <v>3631</v>
      </c>
      <c r="F560" s="8" t="s">
        <v>2908</v>
      </c>
      <c r="G560" s="6" t="s">
        <v>67</v>
      </c>
      <c r="H560" s="6" t="s">
        <v>597</v>
      </c>
      <c r="I560" s="8"/>
      <c r="J560" s="9">
        <v>1</v>
      </c>
      <c r="K560" s="9">
        <v>400</v>
      </c>
      <c r="L560" s="9">
        <v>2023</v>
      </c>
      <c r="M560" s="8" t="s">
        <v>3632</v>
      </c>
      <c r="N560" s="8" t="s">
        <v>56</v>
      </c>
      <c r="O560" s="8" t="s">
        <v>57</v>
      </c>
      <c r="P560" s="6" t="s">
        <v>69</v>
      </c>
      <c r="Q560" s="8" t="s">
        <v>43</v>
      </c>
      <c r="R560" s="10" t="s">
        <v>2256</v>
      </c>
      <c r="S560" s="11" t="s">
        <v>3627</v>
      </c>
      <c r="T560" s="6"/>
      <c r="U560" s="27" t="str">
        <f>HYPERLINK("https://media.infra-m.ru/1986/1986688/cover/1986688.jpg", "Обложка")</f>
        <v>Обложка</v>
      </c>
      <c r="V560" s="27" t="str">
        <f>HYPERLINK("https://znanium.com/catalog/product/1986688", "Ознакомиться")</f>
        <v>Ознакомиться</v>
      </c>
      <c r="W560" s="8" t="s">
        <v>2257</v>
      </c>
      <c r="X560" s="6"/>
      <c r="Y560" s="6"/>
      <c r="Z560" s="6"/>
      <c r="AA560" s="6" t="s">
        <v>3165</v>
      </c>
    </row>
    <row r="561" spans="1:27" s="4" customFormat="1" ht="51.95" customHeight="1">
      <c r="A561" s="5">
        <v>0</v>
      </c>
      <c r="B561" s="6" t="s">
        <v>3633</v>
      </c>
      <c r="C561" s="13">
        <v>1860</v>
      </c>
      <c r="D561" s="8" t="s">
        <v>3634</v>
      </c>
      <c r="E561" s="8" t="s">
        <v>3635</v>
      </c>
      <c r="F561" s="8" t="s">
        <v>3636</v>
      </c>
      <c r="G561" s="6" t="s">
        <v>67</v>
      </c>
      <c r="H561" s="6" t="s">
        <v>53</v>
      </c>
      <c r="I561" s="8" t="s">
        <v>54</v>
      </c>
      <c r="J561" s="9">
        <v>1</v>
      </c>
      <c r="K561" s="9">
        <v>414</v>
      </c>
      <c r="L561" s="9">
        <v>2023</v>
      </c>
      <c r="M561" s="8" t="s">
        <v>3637</v>
      </c>
      <c r="N561" s="8" t="s">
        <v>56</v>
      </c>
      <c r="O561" s="8" t="s">
        <v>57</v>
      </c>
      <c r="P561" s="6" t="s">
        <v>69</v>
      </c>
      <c r="Q561" s="8" t="s">
        <v>43</v>
      </c>
      <c r="R561" s="10" t="s">
        <v>530</v>
      </c>
      <c r="S561" s="11" t="s">
        <v>3638</v>
      </c>
      <c r="T561" s="6" t="s">
        <v>277</v>
      </c>
      <c r="U561" s="27" t="str">
        <f>HYPERLINK("https://media.infra-m.ru/2002/2002652/cover/2002652.jpg", "Обложка")</f>
        <v>Обложка</v>
      </c>
      <c r="V561" s="27" t="str">
        <f>HYPERLINK("https://znanium.com/catalog/product/2002652", "Ознакомиться")</f>
        <v>Ознакомиться</v>
      </c>
      <c r="W561" s="8" t="s">
        <v>118</v>
      </c>
      <c r="X561" s="6"/>
      <c r="Y561" s="6"/>
      <c r="Z561" s="6"/>
      <c r="AA561" s="6" t="s">
        <v>143</v>
      </c>
    </row>
    <row r="562" spans="1:27" s="4" customFormat="1" ht="44.1" customHeight="1">
      <c r="A562" s="5">
        <v>0</v>
      </c>
      <c r="B562" s="6" t="s">
        <v>3639</v>
      </c>
      <c r="C562" s="7">
        <v>710</v>
      </c>
      <c r="D562" s="8" t="s">
        <v>3640</v>
      </c>
      <c r="E562" s="8" t="s">
        <v>3641</v>
      </c>
      <c r="F562" s="8" t="s">
        <v>3642</v>
      </c>
      <c r="G562" s="6" t="s">
        <v>67</v>
      </c>
      <c r="H562" s="6" t="s">
        <v>597</v>
      </c>
      <c r="I562" s="8"/>
      <c r="J562" s="9">
        <v>1</v>
      </c>
      <c r="K562" s="9">
        <v>152</v>
      </c>
      <c r="L562" s="9">
        <v>2023</v>
      </c>
      <c r="M562" s="8" t="s">
        <v>3643</v>
      </c>
      <c r="N562" s="8" t="s">
        <v>56</v>
      </c>
      <c r="O562" s="8" t="s">
        <v>57</v>
      </c>
      <c r="P562" s="6" t="s">
        <v>116</v>
      </c>
      <c r="Q562" s="8" t="s">
        <v>81</v>
      </c>
      <c r="R562" s="10" t="s">
        <v>3644</v>
      </c>
      <c r="S562" s="11"/>
      <c r="T562" s="6"/>
      <c r="U562" s="27" t="str">
        <f>HYPERLINK("https://media.infra-m.ru/1984/1984927/cover/1984927.jpg", "Обложка")</f>
        <v>Обложка</v>
      </c>
      <c r="V562" s="27" t="str">
        <f>HYPERLINK("https://znanium.com/catalog/product/1984927", "Ознакомиться")</f>
        <v>Ознакомиться</v>
      </c>
      <c r="W562" s="8" t="s">
        <v>3645</v>
      </c>
      <c r="X562" s="6"/>
      <c r="Y562" s="6"/>
      <c r="Z562" s="6"/>
      <c r="AA562" s="6" t="s">
        <v>510</v>
      </c>
    </row>
    <row r="563" spans="1:27" s="4" customFormat="1" ht="51.95" customHeight="1">
      <c r="A563" s="5">
        <v>0</v>
      </c>
      <c r="B563" s="6" t="s">
        <v>3646</v>
      </c>
      <c r="C563" s="13">
        <v>1384</v>
      </c>
      <c r="D563" s="8" t="s">
        <v>3647</v>
      </c>
      <c r="E563" s="8" t="s">
        <v>3648</v>
      </c>
      <c r="F563" s="8" t="s">
        <v>3649</v>
      </c>
      <c r="G563" s="6" t="s">
        <v>67</v>
      </c>
      <c r="H563" s="6" t="s">
        <v>53</v>
      </c>
      <c r="I563" s="8" t="s">
        <v>165</v>
      </c>
      <c r="J563" s="9">
        <v>1</v>
      </c>
      <c r="K563" s="9">
        <v>299</v>
      </c>
      <c r="L563" s="9">
        <v>2024</v>
      </c>
      <c r="M563" s="8" t="s">
        <v>3650</v>
      </c>
      <c r="N563" s="8" t="s">
        <v>56</v>
      </c>
      <c r="O563" s="8" t="s">
        <v>57</v>
      </c>
      <c r="P563" s="6" t="s">
        <v>42</v>
      </c>
      <c r="Q563" s="8" t="s">
        <v>43</v>
      </c>
      <c r="R563" s="10" t="s">
        <v>3651</v>
      </c>
      <c r="S563" s="11" t="s">
        <v>3652</v>
      </c>
      <c r="T563" s="6"/>
      <c r="U563" s="27" t="str">
        <f>HYPERLINK("https://media.infra-m.ru/2084/2084317/cover/2084317.jpg", "Обложка")</f>
        <v>Обложка</v>
      </c>
      <c r="V563" s="27" t="str">
        <f>HYPERLINK("https://znanium.com/catalog/product/2124810", "Ознакомиться")</f>
        <v>Ознакомиться</v>
      </c>
      <c r="W563" s="8" t="s">
        <v>351</v>
      </c>
      <c r="X563" s="6"/>
      <c r="Y563" s="6"/>
      <c r="Z563" s="6"/>
      <c r="AA563" s="6" t="s">
        <v>62</v>
      </c>
    </row>
    <row r="564" spans="1:27" s="4" customFormat="1" ht="42" customHeight="1">
      <c r="A564" s="5">
        <v>0</v>
      </c>
      <c r="B564" s="6" t="s">
        <v>3653</v>
      </c>
      <c r="C564" s="13">
        <v>1330</v>
      </c>
      <c r="D564" s="8" t="s">
        <v>3654</v>
      </c>
      <c r="E564" s="8" t="s">
        <v>3655</v>
      </c>
      <c r="F564" s="8" t="s">
        <v>3656</v>
      </c>
      <c r="G564" s="6" t="s">
        <v>67</v>
      </c>
      <c r="H564" s="6" t="s">
        <v>53</v>
      </c>
      <c r="I564" s="8" t="s">
        <v>114</v>
      </c>
      <c r="J564" s="9">
        <v>1</v>
      </c>
      <c r="K564" s="9">
        <v>289</v>
      </c>
      <c r="L564" s="9">
        <v>2024</v>
      </c>
      <c r="M564" s="8" t="s">
        <v>3657</v>
      </c>
      <c r="N564" s="8" t="s">
        <v>56</v>
      </c>
      <c r="O564" s="8" t="s">
        <v>57</v>
      </c>
      <c r="P564" s="6" t="s">
        <v>116</v>
      </c>
      <c r="Q564" s="8" t="s">
        <v>81</v>
      </c>
      <c r="R564" s="10" t="s">
        <v>2381</v>
      </c>
      <c r="S564" s="11"/>
      <c r="T564" s="6" t="s">
        <v>277</v>
      </c>
      <c r="U564" s="27" t="str">
        <f>HYPERLINK("https://media.infra-m.ru/2117/2117173/cover/2117173.jpg", "Обложка")</f>
        <v>Обложка</v>
      </c>
      <c r="V564" s="27" t="str">
        <f>HYPERLINK("https://znanium.com/catalog/product/2117173", "Ознакомиться")</f>
        <v>Ознакомиться</v>
      </c>
      <c r="W564" s="8" t="s">
        <v>72</v>
      </c>
      <c r="X564" s="6"/>
      <c r="Y564" s="6"/>
      <c r="Z564" s="6"/>
      <c r="AA564" s="6" t="s">
        <v>253</v>
      </c>
    </row>
    <row r="565" spans="1:27" s="4" customFormat="1" ht="42" customHeight="1">
      <c r="A565" s="5">
        <v>0</v>
      </c>
      <c r="B565" s="6" t="s">
        <v>3658</v>
      </c>
      <c r="C565" s="13">
        <v>1040</v>
      </c>
      <c r="D565" s="8" t="s">
        <v>3659</v>
      </c>
      <c r="E565" s="8" t="s">
        <v>3660</v>
      </c>
      <c r="F565" s="8" t="s">
        <v>3661</v>
      </c>
      <c r="G565" s="6" t="s">
        <v>37</v>
      </c>
      <c r="H565" s="6" t="s">
        <v>38</v>
      </c>
      <c r="I565" s="8" t="s">
        <v>1110</v>
      </c>
      <c r="J565" s="9">
        <v>1</v>
      </c>
      <c r="K565" s="9">
        <v>333</v>
      </c>
      <c r="L565" s="9">
        <v>2018</v>
      </c>
      <c r="M565" s="8" t="s">
        <v>3662</v>
      </c>
      <c r="N565" s="8" t="s">
        <v>56</v>
      </c>
      <c r="O565" s="8" t="s">
        <v>57</v>
      </c>
      <c r="P565" s="6" t="s">
        <v>116</v>
      </c>
      <c r="Q565" s="8" t="s">
        <v>81</v>
      </c>
      <c r="R565" s="10" t="s">
        <v>3663</v>
      </c>
      <c r="S565" s="11"/>
      <c r="T565" s="6"/>
      <c r="U565" s="27" t="str">
        <f>HYPERLINK("https://media.infra-m.ru/0940/0940598/cover/940598.jpg", "Обложка")</f>
        <v>Обложка</v>
      </c>
      <c r="V565" s="27" t="str">
        <f>HYPERLINK("https://znanium.com/catalog/product/940598", "Ознакомиться")</f>
        <v>Ознакомиться</v>
      </c>
      <c r="W565" s="8" t="s">
        <v>46</v>
      </c>
      <c r="X565" s="6"/>
      <c r="Y565" s="6"/>
      <c r="Z565" s="6"/>
      <c r="AA565" s="6" t="s">
        <v>253</v>
      </c>
    </row>
    <row r="566" spans="1:27" s="4" customFormat="1" ht="51.95" customHeight="1">
      <c r="A566" s="5">
        <v>0</v>
      </c>
      <c r="B566" s="6" t="s">
        <v>3664</v>
      </c>
      <c r="C566" s="13">
        <v>1724.9</v>
      </c>
      <c r="D566" s="8" t="s">
        <v>3665</v>
      </c>
      <c r="E566" s="8" t="s">
        <v>3666</v>
      </c>
      <c r="F566" s="8" t="s">
        <v>3667</v>
      </c>
      <c r="G566" s="6" t="s">
        <v>37</v>
      </c>
      <c r="H566" s="6" t="s">
        <v>38</v>
      </c>
      <c r="I566" s="8"/>
      <c r="J566" s="9">
        <v>1</v>
      </c>
      <c r="K566" s="9">
        <v>384</v>
      </c>
      <c r="L566" s="9">
        <v>2023</v>
      </c>
      <c r="M566" s="8" t="s">
        <v>3668</v>
      </c>
      <c r="N566" s="8" t="s">
        <v>56</v>
      </c>
      <c r="O566" s="8" t="s">
        <v>57</v>
      </c>
      <c r="P566" s="6" t="s">
        <v>69</v>
      </c>
      <c r="Q566" s="8" t="s">
        <v>150</v>
      </c>
      <c r="R566" s="10" t="s">
        <v>3669</v>
      </c>
      <c r="S566" s="11" t="s">
        <v>3670</v>
      </c>
      <c r="T566" s="6"/>
      <c r="U566" s="27" t="str">
        <f>HYPERLINK("https://media.infra-m.ru/1905/1905235/cover/1905235.jpg", "Обложка")</f>
        <v>Обложка</v>
      </c>
      <c r="V566" s="27" t="str">
        <f>HYPERLINK("https://znanium.com/catalog/product/1852181", "Ознакомиться")</f>
        <v>Ознакомиться</v>
      </c>
      <c r="W566" s="8" t="s">
        <v>1475</v>
      </c>
      <c r="X566" s="6"/>
      <c r="Y566" s="6"/>
      <c r="Z566" s="6"/>
      <c r="AA566" s="6" t="s">
        <v>47</v>
      </c>
    </row>
    <row r="567" spans="1:27" s="4" customFormat="1" ht="51.95" customHeight="1">
      <c r="A567" s="5">
        <v>0</v>
      </c>
      <c r="B567" s="6" t="s">
        <v>3671</v>
      </c>
      <c r="C567" s="7">
        <v>294.89999999999998</v>
      </c>
      <c r="D567" s="8" t="s">
        <v>3672</v>
      </c>
      <c r="E567" s="8" t="s">
        <v>3673</v>
      </c>
      <c r="F567" s="8" t="s">
        <v>3674</v>
      </c>
      <c r="G567" s="6" t="s">
        <v>52</v>
      </c>
      <c r="H567" s="6" t="s">
        <v>3675</v>
      </c>
      <c r="I567" s="8" t="s">
        <v>3676</v>
      </c>
      <c r="J567" s="9">
        <v>1</v>
      </c>
      <c r="K567" s="9">
        <v>161</v>
      </c>
      <c r="L567" s="9">
        <v>2018</v>
      </c>
      <c r="M567" s="8" t="s">
        <v>3677</v>
      </c>
      <c r="N567" s="8" t="s">
        <v>56</v>
      </c>
      <c r="O567" s="8" t="s">
        <v>57</v>
      </c>
      <c r="P567" s="6" t="s">
        <v>42</v>
      </c>
      <c r="Q567" s="8" t="s">
        <v>43</v>
      </c>
      <c r="R567" s="10" t="s">
        <v>3678</v>
      </c>
      <c r="S567" s="11"/>
      <c r="T567" s="6"/>
      <c r="U567" s="27" t="str">
        <f>HYPERLINK("https://media.infra-m.ru/0927/0927483/cover/927483.jpg", "Обложка")</f>
        <v>Обложка</v>
      </c>
      <c r="V567" s="27" t="str">
        <f>HYPERLINK("https://znanium.com/catalog/product/927483", "Ознакомиться")</f>
        <v>Ознакомиться</v>
      </c>
      <c r="W567" s="8" t="s">
        <v>1827</v>
      </c>
      <c r="X567" s="6"/>
      <c r="Y567" s="6"/>
      <c r="Z567" s="6"/>
      <c r="AA567" s="6" t="s">
        <v>1306</v>
      </c>
    </row>
    <row r="568" spans="1:27" s="4" customFormat="1" ht="42" customHeight="1">
      <c r="A568" s="5">
        <v>0</v>
      </c>
      <c r="B568" s="6" t="s">
        <v>3679</v>
      </c>
      <c r="C568" s="13">
        <v>1174</v>
      </c>
      <c r="D568" s="8" t="s">
        <v>3680</v>
      </c>
      <c r="E568" s="8" t="s">
        <v>3681</v>
      </c>
      <c r="F568" s="8" t="s">
        <v>3682</v>
      </c>
      <c r="G568" s="6" t="s">
        <v>37</v>
      </c>
      <c r="H568" s="6" t="s">
        <v>385</v>
      </c>
      <c r="I568" s="8" t="s">
        <v>377</v>
      </c>
      <c r="J568" s="9">
        <v>1</v>
      </c>
      <c r="K568" s="9">
        <v>256</v>
      </c>
      <c r="L568" s="9">
        <v>2024</v>
      </c>
      <c r="M568" s="8" t="s">
        <v>3683</v>
      </c>
      <c r="N568" s="8" t="s">
        <v>56</v>
      </c>
      <c r="O568" s="8" t="s">
        <v>57</v>
      </c>
      <c r="P568" s="6" t="s">
        <v>69</v>
      </c>
      <c r="Q568" s="8" t="s">
        <v>43</v>
      </c>
      <c r="R568" s="10" t="s">
        <v>3684</v>
      </c>
      <c r="S568" s="11"/>
      <c r="T568" s="6"/>
      <c r="U568" s="27" t="str">
        <f>HYPERLINK("https://media.infra-m.ru/2118/2118088/cover/2118088.jpg", "Обложка")</f>
        <v>Обложка</v>
      </c>
      <c r="V568" s="27" t="str">
        <f>HYPERLINK("https://znanium.com/catalog/product/2001695", "Ознакомиться")</f>
        <v>Ознакомиться</v>
      </c>
      <c r="W568" s="8" t="s">
        <v>583</v>
      </c>
      <c r="X568" s="6"/>
      <c r="Y568" s="6"/>
      <c r="Z568" s="6"/>
      <c r="AA568" s="6" t="s">
        <v>288</v>
      </c>
    </row>
    <row r="569" spans="1:27" s="4" customFormat="1" ht="51.95" customHeight="1">
      <c r="A569" s="5">
        <v>0</v>
      </c>
      <c r="B569" s="6" t="s">
        <v>3685</v>
      </c>
      <c r="C569" s="7">
        <v>870</v>
      </c>
      <c r="D569" s="8" t="s">
        <v>3686</v>
      </c>
      <c r="E569" s="8" t="s">
        <v>3687</v>
      </c>
      <c r="F569" s="8" t="s">
        <v>3688</v>
      </c>
      <c r="G569" s="6" t="s">
        <v>52</v>
      </c>
      <c r="H569" s="6" t="s">
        <v>265</v>
      </c>
      <c r="I569" s="8" t="s">
        <v>54</v>
      </c>
      <c r="J569" s="9">
        <v>1</v>
      </c>
      <c r="K569" s="9">
        <v>192</v>
      </c>
      <c r="L569" s="9">
        <v>2023</v>
      </c>
      <c r="M569" s="8" t="s">
        <v>3689</v>
      </c>
      <c r="N569" s="8" t="s">
        <v>56</v>
      </c>
      <c r="O569" s="8" t="s">
        <v>57</v>
      </c>
      <c r="P569" s="6" t="s">
        <v>69</v>
      </c>
      <c r="Q569" s="8" t="s">
        <v>58</v>
      </c>
      <c r="R569" s="10" t="s">
        <v>3690</v>
      </c>
      <c r="S569" s="11" t="s">
        <v>3691</v>
      </c>
      <c r="T569" s="6"/>
      <c r="U569" s="27" t="str">
        <f>HYPERLINK("https://media.infra-m.ru/1910/1910555/cover/1910555.jpg", "Обложка")</f>
        <v>Обложка</v>
      </c>
      <c r="V569" s="27" t="str">
        <f>HYPERLINK("https://znanium.com/catalog/product/1910555", "Ознакомиться")</f>
        <v>Ознакомиться</v>
      </c>
      <c r="W569" s="8" t="s">
        <v>72</v>
      </c>
      <c r="X569" s="6"/>
      <c r="Y569" s="6" t="s">
        <v>30</v>
      </c>
      <c r="Z569" s="6"/>
      <c r="AA569" s="6" t="s">
        <v>253</v>
      </c>
    </row>
    <row r="570" spans="1:27" s="4" customFormat="1" ht="51.95" customHeight="1">
      <c r="A570" s="5">
        <v>0</v>
      </c>
      <c r="B570" s="6" t="s">
        <v>3692</v>
      </c>
      <c r="C570" s="13">
        <v>1154</v>
      </c>
      <c r="D570" s="8" t="s">
        <v>3693</v>
      </c>
      <c r="E570" s="8" t="s">
        <v>3694</v>
      </c>
      <c r="F570" s="8" t="s">
        <v>3695</v>
      </c>
      <c r="G570" s="6" t="s">
        <v>52</v>
      </c>
      <c r="H570" s="6" t="s">
        <v>53</v>
      </c>
      <c r="I570" s="8" t="s">
        <v>3283</v>
      </c>
      <c r="J570" s="9">
        <v>1</v>
      </c>
      <c r="K570" s="9">
        <v>255</v>
      </c>
      <c r="L570" s="9">
        <v>2023</v>
      </c>
      <c r="M570" s="8" t="s">
        <v>3696</v>
      </c>
      <c r="N570" s="8" t="s">
        <v>56</v>
      </c>
      <c r="O570" s="8" t="s">
        <v>57</v>
      </c>
      <c r="P570" s="6" t="s">
        <v>116</v>
      </c>
      <c r="Q570" s="8" t="s">
        <v>81</v>
      </c>
      <c r="R570" s="10" t="s">
        <v>3697</v>
      </c>
      <c r="S570" s="11"/>
      <c r="T570" s="6"/>
      <c r="U570" s="27" t="str">
        <f>HYPERLINK("https://media.infra-m.ru/2045/2045968/cover/2045968.jpg", "Обложка")</f>
        <v>Обложка</v>
      </c>
      <c r="V570" s="27" t="str">
        <f>HYPERLINK("https://znanium.com/catalog/product/1048095", "Ознакомиться")</f>
        <v>Ознакомиться</v>
      </c>
      <c r="W570" s="8" t="s">
        <v>46</v>
      </c>
      <c r="X570" s="6"/>
      <c r="Y570" s="6"/>
      <c r="Z570" s="6"/>
      <c r="AA570" s="6" t="s">
        <v>601</v>
      </c>
    </row>
    <row r="571" spans="1:27" s="4" customFormat="1" ht="51.95" customHeight="1">
      <c r="A571" s="5">
        <v>0</v>
      </c>
      <c r="B571" s="6" t="s">
        <v>3698</v>
      </c>
      <c r="C571" s="7">
        <v>844.9</v>
      </c>
      <c r="D571" s="8" t="s">
        <v>3699</v>
      </c>
      <c r="E571" s="8" t="s">
        <v>3700</v>
      </c>
      <c r="F571" s="8" t="s">
        <v>3701</v>
      </c>
      <c r="G571" s="6" t="s">
        <v>52</v>
      </c>
      <c r="H571" s="6" t="s">
        <v>53</v>
      </c>
      <c r="I571" s="8" t="s">
        <v>114</v>
      </c>
      <c r="J571" s="9">
        <v>1</v>
      </c>
      <c r="K571" s="9">
        <v>187</v>
      </c>
      <c r="L571" s="9">
        <v>2023</v>
      </c>
      <c r="M571" s="8" t="s">
        <v>3702</v>
      </c>
      <c r="N571" s="8" t="s">
        <v>56</v>
      </c>
      <c r="O571" s="8" t="s">
        <v>57</v>
      </c>
      <c r="P571" s="6" t="s">
        <v>116</v>
      </c>
      <c r="Q571" s="8" t="s">
        <v>81</v>
      </c>
      <c r="R571" s="10" t="s">
        <v>3703</v>
      </c>
      <c r="S571" s="11"/>
      <c r="T571" s="6"/>
      <c r="U571" s="27" t="str">
        <f>HYPERLINK("https://media.infra-m.ru/1913/1913035/cover/1913035.jpg", "Обложка")</f>
        <v>Обложка</v>
      </c>
      <c r="V571" s="27" t="str">
        <f>HYPERLINK("https://znanium.com/catalog/product/938024", "Ознакомиться")</f>
        <v>Ознакомиться</v>
      </c>
      <c r="W571" s="8" t="s">
        <v>46</v>
      </c>
      <c r="X571" s="6"/>
      <c r="Y571" s="6"/>
      <c r="Z571" s="6"/>
      <c r="AA571" s="6" t="s">
        <v>253</v>
      </c>
    </row>
    <row r="572" spans="1:27" s="4" customFormat="1" ht="51.95" customHeight="1">
      <c r="A572" s="5">
        <v>0</v>
      </c>
      <c r="B572" s="6" t="s">
        <v>3704</v>
      </c>
      <c r="C572" s="13">
        <v>1720</v>
      </c>
      <c r="D572" s="8" t="s">
        <v>3705</v>
      </c>
      <c r="E572" s="8" t="s">
        <v>3706</v>
      </c>
      <c r="F572" s="8" t="s">
        <v>3707</v>
      </c>
      <c r="G572" s="6" t="s">
        <v>67</v>
      </c>
      <c r="H572" s="6" t="s">
        <v>38</v>
      </c>
      <c r="I572" s="8" t="s">
        <v>54</v>
      </c>
      <c r="J572" s="9">
        <v>1</v>
      </c>
      <c r="K572" s="9">
        <v>373</v>
      </c>
      <c r="L572" s="9">
        <v>2023</v>
      </c>
      <c r="M572" s="8" t="s">
        <v>3708</v>
      </c>
      <c r="N572" s="8" t="s">
        <v>56</v>
      </c>
      <c r="O572" s="8" t="s">
        <v>57</v>
      </c>
      <c r="P572" s="6" t="s">
        <v>42</v>
      </c>
      <c r="Q572" s="8" t="s">
        <v>58</v>
      </c>
      <c r="R572" s="10" t="s">
        <v>3709</v>
      </c>
      <c r="S572" s="11"/>
      <c r="T572" s="6"/>
      <c r="U572" s="27" t="str">
        <f>HYPERLINK("https://media.infra-m.ru/1894/1894608/cover/1894608.jpg", "Обложка")</f>
        <v>Обложка</v>
      </c>
      <c r="V572" s="27" t="str">
        <f>HYPERLINK("https://znanium.com/catalog/product/1894608", "Ознакомиться")</f>
        <v>Ознакомиться</v>
      </c>
      <c r="W572" s="8" t="s">
        <v>46</v>
      </c>
      <c r="X572" s="6"/>
      <c r="Y572" s="6"/>
      <c r="Z572" s="6"/>
      <c r="AA572" s="6" t="s">
        <v>288</v>
      </c>
    </row>
    <row r="573" spans="1:27" s="4" customFormat="1" ht="51.95" customHeight="1">
      <c r="A573" s="5">
        <v>0</v>
      </c>
      <c r="B573" s="6" t="s">
        <v>3710</v>
      </c>
      <c r="C573" s="7">
        <v>944.9</v>
      </c>
      <c r="D573" s="8" t="s">
        <v>3711</v>
      </c>
      <c r="E573" s="8" t="s">
        <v>3712</v>
      </c>
      <c r="F573" s="8" t="s">
        <v>3713</v>
      </c>
      <c r="G573" s="6" t="s">
        <v>37</v>
      </c>
      <c r="H573" s="6" t="s">
        <v>53</v>
      </c>
      <c r="I573" s="8" t="s">
        <v>130</v>
      </c>
      <c r="J573" s="9">
        <v>1</v>
      </c>
      <c r="K573" s="9">
        <v>279</v>
      </c>
      <c r="L573" s="9">
        <v>2019</v>
      </c>
      <c r="M573" s="8" t="s">
        <v>3714</v>
      </c>
      <c r="N573" s="8" t="s">
        <v>40</v>
      </c>
      <c r="O573" s="8" t="s">
        <v>41</v>
      </c>
      <c r="P573" s="6" t="s">
        <v>42</v>
      </c>
      <c r="Q573" s="8" t="s">
        <v>81</v>
      </c>
      <c r="R573" s="10" t="s">
        <v>3715</v>
      </c>
      <c r="S573" s="11" t="s">
        <v>3716</v>
      </c>
      <c r="T573" s="6" t="s">
        <v>277</v>
      </c>
      <c r="U573" s="27" t="str">
        <f>HYPERLINK("https://media.infra-m.ru/1032/1032203/cover/1032203.jpg", "Обложка")</f>
        <v>Обложка</v>
      </c>
      <c r="V573" s="27" t="str">
        <f>HYPERLINK("https://znanium.com/catalog/product/1073931", "Ознакомиться")</f>
        <v>Ознакомиться</v>
      </c>
      <c r="W573" s="8" t="s">
        <v>72</v>
      </c>
      <c r="X573" s="6"/>
      <c r="Y573" s="6"/>
      <c r="Z573" s="6"/>
      <c r="AA573" s="6" t="s">
        <v>47</v>
      </c>
    </row>
    <row r="574" spans="1:27" s="4" customFormat="1" ht="51.95" customHeight="1">
      <c r="A574" s="5">
        <v>0</v>
      </c>
      <c r="B574" s="6" t="s">
        <v>3717</v>
      </c>
      <c r="C574" s="13">
        <v>1154.9000000000001</v>
      </c>
      <c r="D574" s="8" t="s">
        <v>3718</v>
      </c>
      <c r="E574" s="8" t="s">
        <v>3719</v>
      </c>
      <c r="F574" s="8" t="s">
        <v>3713</v>
      </c>
      <c r="G574" s="6" t="s">
        <v>67</v>
      </c>
      <c r="H574" s="6" t="s">
        <v>53</v>
      </c>
      <c r="I574" s="8" t="s">
        <v>130</v>
      </c>
      <c r="J574" s="9">
        <v>1</v>
      </c>
      <c r="K574" s="9">
        <v>257</v>
      </c>
      <c r="L574" s="9">
        <v>2023</v>
      </c>
      <c r="M574" s="8" t="s">
        <v>3720</v>
      </c>
      <c r="N574" s="8" t="s">
        <v>40</v>
      </c>
      <c r="O574" s="8" t="s">
        <v>41</v>
      </c>
      <c r="P574" s="6" t="s">
        <v>42</v>
      </c>
      <c r="Q574" s="8" t="s">
        <v>81</v>
      </c>
      <c r="R574" s="10" t="s">
        <v>3715</v>
      </c>
      <c r="S574" s="11"/>
      <c r="T574" s="6"/>
      <c r="U574" s="27" t="str">
        <f>HYPERLINK("https://media.infra-m.ru/1911/1911155/cover/1911155.jpg", "Обложка")</f>
        <v>Обложка</v>
      </c>
      <c r="V574" s="27" t="str">
        <f>HYPERLINK("https://znanium.com/catalog/product/1073931", "Ознакомиться")</f>
        <v>Ознакомиться</v>
      </c>
      <c r="W574" s="8" t="s">
        <v>72</v>
      </c>
      <c r="X574" s="6"/>
      <c r="Y574" s="6"/>
      <c r="Z574" s="6"/>
      <c r="AA574" s="6" t="s">
        <v>1214</v>
      </c>
    </row>
    <row r="575" spans="1:27" s="4" customFormat="1" ht="51.95" customHeight="1">
      <c r="A575" s="5">
        <v>0</v>
      </c>
      <c r="B575" s="6" t="s">
        <v>3721</v>
      </c>
      <c r="C575" s="13">
        <v>1014.9</v>
      </c>
      <c r="D575" s="8" t="s">
        <v>3722</v>
      </c>
      <c r="E575" s="8" t="s">
        <v>3723</v>
      </c>
      <c r="F575" s="8" t="s">
        <v>3724</v>
      </c>
      <c r="G575" s="6" t="s">
        <v>52</v>
      </c>
      <c r="H575" s="6" t="s">
        <v>98</v>
      </c>
      <c r="I575" s="8" t="s">
        <v>148</v>
      </c>
      <c r="J575" s="9">
        <v>20</v>
      </c>
      <c r="K575" s="9">
        <v>296</v>
      </c>
      <c r="L575" s="9">
        <v>2020</v>
      </c>
      <c r="M575" s="8" t="s">
        <v>3725</v>
      </c>
      <c r="N575" s="8" t="s">
        <v>56</v>
      </c>
      <c r="O575" s="8" t="s">
        <v>57</v>
      </c>
      <c r="P575" s="6" t="s">
        <v>69</v>
      </c>
      <c r="Q575" s="8" t="s">
        <v>150</v>
      </c>
      <c r="R575" s="10" t="s">
        <v>319</v>
      </c>
      <c r="S575" s="11" t="s">
        <v>3726</v>
      </c>
      <c r="T575" s="6" t="s">
        <v>277</v>
      </c>
      <c r="U575" s="27" t="str">
        <f>HYPERLINK("https://media.infra-m.ru/1069/1069920/cover/1069920.jpg", "Обложка")</f>
        <v>Обложка</v>
      </c>
      <c r="V575" s="27" t="str">
        <f>HYPERLINK("https://znanium.com/catalog/product/1069920", "Ознакомиться")</f>
        <v>Ознакомиться</v>
      </c>
      <c r="W575" s="8" t="s">
        <v>3727</v>
      </c>
      <c r="X575" s="6"/>
      <c r="Y575" s="6"/>
      <c r="Z575" s="6"/>
      <c r="AA575" s="6" t="s">
        <v>253</v>
      </c>
    </row>
    <row r="576" spans="1:27" s="4" customFormat="1" ht="42" customHeight="1">
      <c r="A576" s="5">
        <v>0</v>
      </c>
      <c r="B576" s="6" t="s">
        <v>3728</v>
      </c>
      <c r="C576" s="7">
        <v>980</v>
      </c>
      <c r="D576" s="8" t="s">
        <v>3729</v>
      </c>
      <c r="E576" s="8" t="s">
        <v>3730</v>
      </c>
      <c r="F576" s="8" t="s">
        <v>3731</v>
      </c>
      <c r="G576" s="6" t="s">
        <v>37</v>
      </c>
      <c r="H576" s="6" t="s">
        <v>239</v>
      </c>
      <c r="I576" s="8"/>
      <c r="J576" s="9">
        <v>1</v>
      </c>
      <c r="K576" s="9">
        <v>304</v>
      </c>
      <c r="L576" s="9">
        <v>2019</v>
      </c>
      <c r="M576" s="8" t="s">
        <v>3732</v>
      </c>
      <c r="N576" s="8" t="s">
        <v>56</v>
      </c>
      <c r="O576" s="8" t="s">
        <v>57</v>
      </c>
      <c r="P576" s="6" t="s">
        <v>233</v>
      </c>
      <c r="Q576" s="8" t="s">
        <v>150</v>
      </c>
      <c r="R576" s="10" t="s">
        <v>3733</v>
      </c>
      <c r="S576" s="11"/>
      <c r="T576" s="6"/>
      <c r="U576" s="27" t="str">
        <f>HYPERLINK("https://media.infra-m.ru/1006/1006768/cover/1006768.jpg", "Обложка")</f>
        <v>Обложка</v>
      </c>
      <c r="V576" s="27" t="str">
        <f>HYPERLINK("https://znanium.com/catalog/product/1006768", "Ознакомиться")</f>
        <v>Ознакомиться</v>
      </c>
      <c r="W576" s="8" t="s">
        <v>72</v>
      </c>
      <c r="X576" s="6"/>
      <c r="Y576" s="6"/>
      <c r="Z576" s="6"/>
      <c r="AA576" s="6" t="s">
        <v>253</v>
      </c>
    </row>
    <row r="577" spans="1:27" s="4" customFormat="1" ht="51.95" customHeight="1">
      <c r="A577" s="5">
        <v>0</v>
      </c>
      <c r="B577" s="6" t="s">
        <v>3734</v>
      </c>
      <c r="C577" s="13">
        <v>1804.9</v>
      </c>
      <c r="D577" s="8" t="s">
        <v>3735</v>
      </c>
      <c r="E577" s="8" t="s">
        <v>3736</v>
      </c>
      <c r="F577" s="8" t="s">
        <v>3737</v>
      </c>
      <c r="G577" s="6" t="s">
        <v>37</v>
      </c>
      <c r="H577" s="6" t="s">
        <v>239</v>
      </c>
      <c r="I577" s="8"/>
      <c r="J577" s="9">
        <v>1</v>
      </c>
      <c r="K577" s="9">
        <v>400</v>
      </c>
      <c r="L577" s="9">
        <v>2023</v>
      </c>
      <c r="M577" s="8" t="s">
        <v>3738</v>
      </c>
      <c r="N577" s="8" t="s">
        <v>56</v>
      </c>
      <c r="O577" s="8" t="s">
        <v>57</v>
      </c>
      <c r="P577" s="6" t="s">
        <v>116</v>
      </c>
      <c r="Q577" s="8" t="s">
        <v>43</v>
      </c>
      <c r="R577" s="10" t="s">
        <v>3739</v>
      </c>
      <c r="S577" s="11"/>
      <c r="T577" s="6"/>
      <c r="U577" s="27" t="str">
        <f>HYPERLINK("https://media.infra-m.ru/1981/1981657/cover/1981657.jpg", "Обложка")</f>
        <v>Обложка</v>
      </c>
      <c r="V577" s="27" t="str">
        <f>HYPERLINK("https://znanium.com/catalog/product/960054", "Ознакомиться")</f>
        <v>Ознакомиться</v>
      </c>
      <c r="W577" s="8" t="s">
        <v>539</v>
      </c>
      <c r="X577" s="6"/>
      <c r="Y577" s="6"/>
      <c r="Z577" s="6"/>
      <c r="AA577" s="6" t="s">
        <v>208</v>
      </c>
    </row>
    <row r="578" spans="1:27" s="4" customFormat="1" ht="44.1" customHeight="1">
      <c r="A578" s="5">
        <v>0</v>
      </c>
      <c r="B578" s="6" t="s">
        <v>3740</v>
      </c>
      <c r="C578" s="7">
        <v>514.9</v>
      </c>
      <c r="D578" s="8" t="s">
        <v>3741</v>
      </c>
      <c r="E578" s="8" t="s">
        <v>3742</v>
      </c>
      <c r="F578" s="8" t="s">
        <v>97</v>
      </c>
      <c r="G578" s="6" t="s">
        <v>52</v>
      </c>
      <c r="H578" s="6" t="s">
        <v>53</v>
      </c>
      <c r="I578" s="8" t="s">
        <v>114</v>
      </c>
      <c r="J578" s="9">
        <v>1</v>
      </c>
      <c r="K578" s="9">
        <v>243</v>
      </c>
      <c r="L578" s="9">
        <v>2017</v>
      </c>
      <c r="M578" s="8" t="s">
        <v>3743</v>
      </c>
      <c r="N578" s="8" t="s">
        <v>56</v>
      </c>
      <c r="O578" s="8" t="s">
        <v>57</v>
      </c>
      <c r="P578" s="6" t="s">
        <v>116</v>
      </c>
      <c r="Q578" s="8" t="s">
        <v>81</v>
      </c>
      <c r="R578" s="10" t="s">
        <v>371</v>
      </c>
      <c r="S578" s="11"/>
      <c r="T578" s="6" t="s">
        <v>277</v>
      </c>
      <c r="U578" s="27" t="str">
        <f>HYPERLINK("https://media.infra-m.ru/0610/0610385/cover/610385.jpg", "Обложка")</f>
        <v>Обложка</v>
      </c>
      <c r="V578" s="27" t="str">
        <f>HYPERLINK("https://znanium.com/catalog/product/612350", "Ознакомиться")</f>
        <v>Ознакомиться</v>
      </c>
      <c r="W578" s="8" t="s">
        <v>287</v>
      </c>
      <c r="X578" s="6"/>
      <c r="Y578" s="6"/>
      <c r="Z578" s="6"/>
      <c r="AA578" s="6" t="s">
        <v>47</v>
      </c>
    </row>
    <row r="579" spans="1:27" s="4" customFormat="1" ht="51.95" customHeight="1">
      <c r="A579" s="5">
        <v>0</v>
      </c>
      <c r="B579" s="6" t="s">
        <v>3744</v>
      </c>
      <c r="C579" s="7">
        <v>640</v>
      </c>
      <c r="D579" s="8" t="s">
        <v>3745</v>
      </c>
      <c r="E579" s="8" t="s">
        <v>3746</v>
      </c>
      <c r="F579" s="8" t="s">
        <v>3747</v>
      </c>
      <c r="G579" s="6" t="s">
        <v>52</v>
      </c>
      <c r="H579" s="6" t="s">
        <v>53</v>
      </c>
      <c r="I579" s="8" t="s">
        <v>114</v>
      </c>
      <c r="J579" s="9">
        <v>1</v>
      </c>
      <c r="K579" s="9">
        <v>142</v>
      </c>
      <c r="L579" s="9">
        <v>2023</v>
      </c>
      <c r="M579" s="8" t="s">
        <v>3748</v>
      </c>
      <c r="N579" s="8" t="s">
        <v>56</v>
      </c>
      <c r="O579" s="8" t="s">
        <v>57</v>
      </c>
      <c r="P579" s="6" t="s">
        <v>116</v>
      </c>
      <c r="Q579" s="8" t="s">
        <v>81</v>
      </c>
      <c r="R579" s="10" t="s">
        <v>3749</v>
      </c>
      <c r="S579" s="11"/>
      <c r="T579" s="6"/>
      <c r="U579" s="27" t="str">
        <f>HYPERLINK("https://media.infra-m.ru/1913/1913630/cover/1913630.jpg", "Обложка")</f>
        <v>Обложка</v>
      </c>
      <c r="V579" s="27" t="str">
        <f>HYPERLINK("https://znanium.com/catalog/product/1913630", "Ознакомиться")</f>
        <v>Ознакомиться</v>
      </c>
      <c r="W579" s="8" t="s">
        <v>3750</v>
      </c>
      <c r="X579" s="6"/>
      <c r="Y579" s="6"/>
      <c r="Z579" s="6"/>
      <c r="AA579" s="6" t="s">
        <v>288</v>
      </c>
    </row>
    <row r="580" spans="1:27" s="4" customFormat="1" ht="51.95" customHeight="1">
      <c r="A580" s="5">
        <v>0</v>
      </c>
      <c r="B580" s="6" t="s">
        <v>3751</v>
      </c>
      <c r="C580" s="13">
        <v>1180</v>
      </c>
      <c r="D580" s="8" t="s">
        <v>3752</v>
      </c>
      <c r="E580" s="8" t="s">
        <v>3753</v>
      </c>
      <c r="F580" s="8" t="s">
        <v>3754</v>
      </c>
      <c r="G580" s="6" t="s">
        <v>67</v>
      </c>
      <c r="H580" s="6" t="s">
        <v>53</v>
      </c>
      <c r="I580" s="8" t="s">
        <v>148</v>
      </c>
      <c r="J580" s="9">
        <v>1</v>
      </c>
      <c r="K580" s="9">
        <v>309</v>
      </c>
      <c r="L580" s="9">
        <v>2022</v>
      </c>
      <c r="M580" s="8" t="s">
        <v>3755</v>
      </c>
      <c r="N580" s="8" t="s">
        <v>56</v>
      </c>
      <c r="O580" s="8" t="s">
        <v>57</v>
      </c>
      <c r="P580" s="6" t="s">
        <v>69</v>
      </c>
      <c r="Q580" s="8" t="s">
        <v>150</v>
      </c>
      <c r="R580" s="10" t="s">
        <v>3756</v>
      </c>
      <c r="S580" s="11" t="s">
        <v>3757</v>
      </c>
      <c r="T580" s="6" t="s">
        <v>277</v>
      </c>
      <c r="U580" s="27" t="str">
        <f>HYPERLINK("https://media.infra-m.ru/1856/1856730/cover/1856730.jpg", "Обложка")</f>
        <v>Обложка</v>
      </c>
      <c r="V580" s="27" t="str">
        <f>HYPERLINK("https://znanium.com/catalog/product/1856730", "Ознакомиться")</f>
        <v>Ознакомиться</v>
      </c>
      <c r="W580" s="8" t="s">
        <v>3516</v>
      </c>
      <c r="X580" s="6"/>
      <c r="Y580" s="6"/>
      <c r="Z580" s="6"/>
      <c r="AA580" s="6" t="s">
        <v>73</v>
      </c>
    </row>
    <row r="581" spans="1:27" s="4" customFormat="1" ht="51.95" customHeight="1">
      <c r="A581" s="5">
        <v>0</v>
      </c>
      <c r="B581" s="6" t="s">
        <v>3758</v>
      </c>
      <c r="C581" s="13">
        <v>1280</v>
      </c>
      <c r="D581" s="8" t="s">
        <v>3759</v>
      </c>
      <c r="E581" s="8" t="s">
        <v>3760</v>
      </c>
      <c r="F581" s="8" t="s">
        <v>1361</v>
      </c>
      <c r="G581" s="6" t="s">
        <v>67</v>
      </c>
      <c r="H581" s="6" t="s">
        <v>53</v>
      </c>
      <c r="I581" s="8" t="s">
        <v>114</v>
      </c>
      <c r="J581" s="9">
        <v>1</v>
      </c>
      <c r="K581" s="9">
        <v>364</v>
      </c>
      <c r="L581" s="9">
        <v>2020</v>
      </c>
      <c r="M581" s="8" t="s">
        <v>3761</v>
      </c>
      <c r="N581" s="8" t="s">
        <v>56</v>
      </c>
      <c r="O581" s="8" t="s">
        <v>57</v>
      </c>
      <c r="P581" s="6" t="s">
        <v>116</v>
      </c>
      <c r="Q581" s="8" t="s">
        <v>81</v>
      </c>
      <c r="R581" s="10" t="s">
        <v>3762</v>
      </c>
      <c r="S581" s="11"/>
      <c r="T581" s="6" t="s">
        <v>277</v>
      </c>
      <c r="U581" s="27" t="str">
        <f>HYPERLINK("https://media.infra-m.ru/1042/1042593/cover/1042593.jpg", "Обложка")</f>
        <v>Обложка</v>
      </c>
      <c r="V581" s="27" t="str">
        <f>HYPERLINK("https://znanium.com/catalog/product/1042593", "Ознакомиться")</f>
        <v>Ознакомиться</v>
      </c>
      <c r="W581" s="8" t="s">
        <v>1364</v>
      </c>
      <c r="X581" s="6"/>
      <c r="Y581" s="6"/>
      <c r="Z581" s="6"/>
      <c r="AA581" s="6" t="s">
        <v>288</v>
      </c>
    </row>
    <row r="582" spans="1:27" s="4" customFormat="1" ht="51.95" customHeight="1">
      <c r="A582" s="5">
        <v>0</v>
      </c>
      <c r="B582" s="6" t="s">
        <v>3763</v>
      </c>
      <c r="C582" s="13">
        <v>1894.9</v>
      </c>
      <c r="D582" s="8" t="s">
        <v>3764</v>
      </c>
      <c r="E582" s="8" t="s">
        <v>3765</v>
      </c>
      <c r="F582" s="8" t="s">
        <v>3766</v>
      </c>
      <c r="G582" s="6" t="s">
        <v>37</v>
      </c>
      <c r="H582" s="6" t="s">
        <v>239</v>
      </c>
      <c r="I582" s="8"/>
      <c r="J582" s="9">
        <v>1</v>
      </c>
      <c r="K582" s="9">
        <v>640</v>
      </c>
      <c r="L582" s="9">
        <v>2022</v>
      </c>
      <c r="M582" s="8" t="s">
        <v>3767</v>
      </c>
      <c r="N582" s="8" t="s">
        <v>56</v>
      </c>
      <c r="O582" s="8" t="s">
        <v>57</v>
      </c>
      <c r="P582" s="6" t="s">
        <v>69</v>
      </c>
      <c r="Q582" s="8" t="s">
        <v>43</v>
      </c>
      <c r="R582" s="10" t="s">
        <v>3768</v>
      </c>
      <c r="S582" s="11" t="s">
        <v>3769</v>
      </c>
      <c r="T582" s="6"/>
      <c r="U582" s="27" t="str">
        <f>HYPERLINK("https://media.infra-m.ru/1843/1843589/cover/1843589.jpg", "Обложка")</f>
        <v>Обложка</v>
      </c>
      <c r="V582" s="27" t="str">
        <f>HYPERLINK("https://znanium.com/catalog/product/1843589", "Ознакомиться")</f>
        <v>Ознакомиться</v>
      </c>
      <c r="W582" s="8" t="s">
        <v>539</v>
      </c>
      <c r="X582" s="6"/>
      <c r="Y582" s="6"/>
      <c r="Z582" s="6"/>
      <c r="AA582" s="6" t="s">
        <v>62</v>
      </c>
    </row>
    <row r="583" spans="1:27" s="4" customFormat="1" ht="44.1" customHeight="1">
      <c r="A583" s="5">
        <v>0</v>
      </c>
      <c r="B583" s="6" t="s">
        <v>3770</v>
      </c>
      <c r="C583" s="13">
        <v>1020</v>
      </c>
      <c r="D583" s="8" t="s">
        <v>3771</v>
      </c>
      <c r="E583" s="8" t="s">
        <v>3772</v>
      </c>
      <c r="F583" s="8" t="s">
        <v>3773</v>
      </c>
      <c r="G583" s="6" t="s">
        <v>37</v>
      </c>
      <c r="H583" s="6" t="s">
        <v>53</v>
      </c>
      <c r="I583" s="8" t="s">
        <v>3358</v>
      </c>
      <c r="J583" s="9">
        <v>1</v>
      </c>
      <c r="K583" s="9">
        <v>220</v>
      </c>
      <c r="L583" s="9">
        <v>2023</v>
      </c>
      <c r="M583" s="8" t="s">
        <v>3774</v>
      </c>
      <c r="N583" s="8" t="s">
        <v>56</v>
      </c>
      <c r="O583" s="8" t="s">
        <v>57</v>
      </c>
      <c r="P583" s="6" t="s">
        <v>69</v>
      </c>
      <c r="Q583" s="8" t="s">
        <v>43</v>
      </c>
      <c r="R583" s="10" t="s">
        <v>3775</v>
      </c>
      <c r="S583" s="11"/>
      <c r="T583" s="6"/>
      <c r="U583" s="27" t="str">
        <f>HYPERLINK("https://media.infra-m.ru/1863/1863127/cover/1863127.jpg", "Обложка")</f>
        <v>Обложка</v>
      </c>
      <c r="V583" s="27" t="str">
        <f>HYPERLINK("https://znanium.com/catalog/product/1863127", "Ознакомиться")</f>
        <v>Ознакомиться</v>
      </c>
      <c r="W583" s="8"/>
      <c r="X583" s="6" t="s">
        <v>3776</v>
      </c>
      <c r="Y583" s="6"/>
      <c r="Z583" s="6"/>
      <c r="AA583" s="6" t="s">
        <v>93</v>
      </c>
    </row>
    <row r="584" spans="1:27" s="4" customFormat="1" ht="44.1" customHeight="1">
      <c r="A584" s="5">
        <v>0</v>
      </c>
      <c r="B584" s="6" t="s">
        <v>3777</v>
      </c>
      <c r="C584" s="13">
        <v>1374</v>
      </c>
      <c r="D584" s="8" t="s">
        <v>3778</v>
      </c>
      <c r="E584" s="8" t="s">
        <v>3779</v>
      </c>
      <c r="F584" s="8" t="s">
        <v>3780</v>
      </c>
      <c r="G584" s="6" t="s">
        <v>37</v>
      </c>
      <c r="H584" s="6" t="s">
        <v>38</v>
      </c>
      <c r="I584" s="8"/>
      <c r="J584" s="9">
        <v>1</v>
      </c>
      <c r="K584" s="9">
        <v>299</v>
      </c>
      <c r="L584" s="9">
        <v>2024</v>
      </c>
      <c r="M584" s="8" t="s">
        <v>3781</v>
      </c>
      <c r="N584" s="8" t="s">
        <v>56</v>
      </c>
      <c r="O584" s="8" t="s">
        <v>57</v>
      </c>
      <c r="P584" s="6" t="s">
        <v>69</v>
      </c>
      <c r="Q584" s="8" t="s">
        <v>43</v>
      </c>
      <c r="R584" s="10" t="s">
        <v>2597</v>
      </c>
      <c r="S584" s="11"/>
      <c r="T584" s="6"/>
      <c r="U584" s="27" t="str">
        <f>HYPERLINK("https://media.infra-m.ru/1841/1841704/cover/1841704.jpg", "Обложка")</f>
        <v>Обложка</v>
      </c>
      <c r="V584" s="27" t="str">
        <f>HYPERLINK("https://znanium.com/catalog/product/1841703", "Ознакомиться")</f>
        <v>Ознакомиться</v>
      </c>
      <c r="W584" s="8" t="s">
        <v>46</v>
      </c>
      <c r="X584" s="6"/>
      <c r="Y584" s="6"/>
      <c r="Z584" s="6"/>
      <c r="AA584" s="6" t="s">
        <v>62</v>
      </c>
    </row>
    <row r="585" spans="1:27" s="4" customFormat="1" ht="51.95" customHeight="1">
      <c r="A585" s="5">
        <v>0</v>
      </c>
      <c r="B585" s="6" t="s">
        <v>3782</v>
      </c>
      <c r="C585" s="13">
        <v>1174</v>
      </c>
      <c r="D585" s="8" t="s">
        <v>3783</v>
      </c>
      <c r="E585" s="8" t="s">
        <v>3784</v>
      </c>
      <c r="F585" s="8" t="s">
        <v>2221</v>
      </c>
      <c r="G585" s="6" t="s">
        <v>37</v>
      </c>
      <c r="H585" s="6" t="s">
        <v>53</v>
      </c>
      <c r="I585" s="8" t="s">
        <v>148</v>
      </c>
      <c r="J585" s="9">
        <v>1</v>
      </c>
      <c r="K585" s="9">
        <v>256</v>
      </c>
      <c r="L585" s="9">
        <v>2024</v>
      </c>
      <c r="M585" s="8" t="s">
        <v>3785</v>
      </c>
      <c r="N585" s="8" t="s">
        <v>56</v>
      </c>
      <c r="O585" s="8" t="s">
        <v>57</v>
      </c>
      <c r="P585" s="6" t="s">
        <v>69</v>
      </c>
      <c r="Q585" s="8" t="s">
        <v>150</v>
      </c>
      <c r="R585" s="10" t="s">
        <v>1627</v>
      </c>
      <c r="S585" s="11" t="s">
        <v>3786</v>
      </c>
      <c r="T585" s="6"/>
      <c r="U585" s="27" t="str">
        <f>HYPERLINK("https://media.infra-m.ru/2091/2091928/cover/2091928.jpg", "Обложка")</f>
        <v>Обложка</v>
      </c>
      <c r="V585" s="27" t="str">
        <f>HYPERLINK("https://znanium.com/catalog/product/1257970", "Ознакомиться")</f>
        <v>Ознакомиться</v>
      </c>
      <c r="W585" s="8" t="s">
        <v>2225</v>
      </c>
      <c r="X585" s="6"/>
      <c r="Y585" s="6"/>
      <c r="Z585" s="6"/>
      <c r="AA585" s="6" t="s">
        <v>208</v>
      </c>
    </row>
    <row r="586" spans="1:27" s="4" customFormat="1" ht="51.95" customHeight="1">
      <c r="A586" s="5">
        <v>0</v>
      </c>
      <c r="B586" s="6" t="s">
        <v>3787</v>
      </c>
      <c r="C586" s="7">
        <v>894.9</v>
      </c>
      <c r="D586" s="8" t="s">
        <v>3788</v>
      </c>
      <c r="E586" s="8" t="s">
        <v>3789</v>
      </c>
      <c r="F586" s="8" t="s">
        <v>3790</v>
      </c>
      <c r="G586" s="6" t="s">
        <v>37</v>
      </c>
      <c r="H586" s="6" t="s">
        <v>53</v>
      </c>
      <c r="I586" s="8" t="s">
        <v>231</v>
      </c>
      <c r="J586" s="9">
        <v>1</v>
      </c>
      <c r="K586" s="9">
        <v>256</v>
      </c>
      <c r="L586" s="9">
        <v>2020</v>
      </c>
      <c r="M586" s="8" t="s">
        <v>3791</v>
      </c>
      <c r="N586" s="8" t="s">
        <v>56</v>
      </c>
      <c r="O586" s="8" t="s">
        <v>57</v>
      </c>
      <c r="P586" s="6" t="s">
        <v>116</v>
      </c>
      <c r="Q586" s="8" t="s">
        <v>81</v>
      </c>
      <c r="R586" s="10" t="s">
        <v>3792</v>
      </c>
      <c r="S586" s="11"/>
      <c r="T586" s="6"/>
      <c r="U586" s="27" t="str">
        <f>HYPERLINK("https://media.infra-m.ru/1048/1048443/cover/1048443.jpg", "Обложка")</f>
        <v>Обложка</v>
      </c>
      <c r="V586" s="27" t="str">
        <f>HYPERLINK("https://znanium.com/catalog/product/902284", "Ознакомиться")</f>
        <v>Ознакомиться</v>
      </c>
      <c r="W586" s="8" t="s">
        <v>735</v>
      </c>
      <c r="X586" s="6"/>
      <c r="Y586" s="6"/>
      <c r="Z586" s="6"/>
      <c r="AA586" s="6" t="s">
        <v>253</v>
      </c>
    </row>
    <row r="587" spans="1:27" s="4" customFormat="1" ht="51.95" customHeight="1">
      <c r="A587" s="5">
        <v>0</v>
      </c>
      <c r="B587" s="6" t="s">
        <v>3793</v>
      </c>
      <c r="C587" s="7">
        <v>674.9</v>
      </c>
      <c r="D587" s="8" t="s">
        <v>3794</v>
      </c>
      <c r="E587" s="8" t="s">
        <v>3795</v>
      </c>
      <c r="F587" s="8" t="s">
        <v>3796</v>
      </c>
      <c r="G587" s="6" t="s">
        <v>52</v>
      </c>
      <c r="H587" s="6" t="s">
        <v>53</v>
      </c>
      <c r="I587" s="8" t="s">
        <v>54</v>
      </c>
      <c r="J587" s="9">
        <v>1</v>
      </c>
      <c r="K587" s="9">
        <v>150</v>
      </c>
      <c r="L587" s="9">
        <v>2023</v>
      </c>
      <c r="M587" s="8" t="s">
        <v>3797</v>
      </c>
      <c r="N587" s="8" t="s">
        <v>56</v>
      </c>
      <c r="O587" s="8" t="s">
        <v>57</v>
      </c>
      <c r="P587" s="6" t="s">
        <v>69</v>
      </c>
      <c r="Q587" s="8" t="s">
        <v>43</v>
      </c>
      <c r="R587" s="10" t="s">
        <v>3798</v>
      </c>
      <c r="S587" s="11" t="s">
        <v>3799</v>
      </c>
      <c r="T587" s="6"/>
      <c r="U587" s="27" t="str">
        <f>HYPERLINK("https://media.infra-m.ru/2053/2053183/cover/2053183.jpg", "Обложка")</f>
        <v>Обложка</v>
      </c>
      <c r="V587" s="27" t="str">
        <f>HYPERLINK("https://znanium.com/catalog/product/1047305", "Ознакомиться")</f>
        <v>Ознакомиться</v>
      </c>
      <c r="W587" s="8" t="s">
        <v>1610</v>
      </c>
      <c r="X587" s="6"/>
      <c r="Y587" s="6"/>
      <c r="Z587" s="6"/>
      <c r="AA587" s="6" t="s">
        <v>201</v>
      </c>
    </row>
    <row r="588" spans="1:27" s="4" customFormat="1" ht="51.95" customHeight="1">
      <c r="A588" s="5">
        <v>0</v>
      </c>
      <c r="B588" s="6" t="s">
        <v>3800</v>
      </c>
      <c r="C588" s="7">
        <v>834.9</v>
      </c>
      <c r="D588" s="8" t="s">
        <v>3801</v>
      </c>
      <c r="E588" s="8" t="s">
        <v>3802</v>
      </c>
      <c r="F588" s="8" t="s">
        <v>3803</v>
      </c>
      <c r="G588" s="6" t="s">
        <v>37</v>
      </c>
      <c r="H588" s="6" t="s">
        <v>53</v>
      </c>
      <c r="I588" s="8" t="s">
        <v>165</v>
      </c>
      <c r="J588" s="9">
        <v>1</v>
      </c>
      <c r="K588" s="9">
        <v>220</v>
      </c>
      <c r="L588" s="9">
        <v>2022</v>
      </c>
      <c r="M588" s="8" t="s">
        <v>3804</v>
      </c>
      <c r="N588" s="8" t="s">
        <v>56</v>
      </c>
      <c r="O588" s="8" t="s">
        <v>57</v>
      </c>
      <c r="P588" s="6" t="s">
        <v>42</v>
      </c>
      <c r="Q588" s="8" t="s">
        <v>43</v>
      </c>
      <c r="R588" s="10" t="s">
        <v>3805</v>
      </c>
      <c r="S588" s="11" t="s">
        <v>3806</v>
      </c>
      <c r="T588" s="6"/>
      <c r="U588" s="27" t="str">
        <f>HYPERLINK("https://media.infra-m.ru/1844/1844296/cover/1844296.jpg", "Обложка")</f>
        <v>Обложка</v>
      </c>
      <c r="V588" s="27" t="str">
        <f>HYPERLINK("https://znanium.com/catalog/product/1008007", "Ознакомиться")</f>
        <v>Ознакомиться</v>
      </c>
      <c r="W588" s="8" t="s">
        <v>1748</v>
      </c>
      <c r="X588" s="6"/>
      <c r="Y588" s="6"/>
      <c r="Z588" s="6"/>
      <c r="AA588" s="6" t="s">
        <v>208</v>
      </c>
    </row>
    <row r="589" spans="1:27" s="4" customFormat="1" ht="51.95" customHeight="1">
      <c r="A589" s="5">
        <v>0</v>
      </c>
      <c r="B589" s="6" t="s">
        <v>3807</v>
      </c>
      <c r="C589" s="13">
        <v>1444.9</v>
      </c>
      <c r="D589" s="8" t="s">
        <v>3808</v>
      </c>
      <c r="E589" s="8" t="s">
        <v>3809</v>
      </c>
      <c r="F589" s="8" t="s">
        <v>3810</v>
      </c>
      <c r="G589" s="6" t="s">
        <v>67</v>
      </c>
      <c r="H589" s="6" t="s">
        <v>53</v>
      </c>
      <c r="I589" s="8" t="s">
        <v>165</v>
      </c>
      <c r="J589" s="9">
        <v>1</v>
      </c>
      <c r="K589" s="9">
        <v>320</v>
      </c>
      <c r="L589" s="9">
        <v>2022</v>
      </c>
      <c r="M589" s="8" t="s">
        <v>3811</v>
      </c>
      <c r="N589" s="8" t="s">
        <v>40</v>
      </c>
      <c r="O589" s="8" t="s">
        <v>41</v>
      </c>
      <c r="P589" s="6" t="s">
        <v>69</v>
      </c>
      <c r="Q589" s="8" t="s">
        <v>43</v>
      </c>
      <c r="R589" s="10" t="s">
        <v>3812</v>
      </c>
      <c r="S589" s="11" t="s">
        <v>3813</v>
      </c>
      <c r="T589" s="6"/>
      <c r="U589" s="27" t="str">
        <f>HYPERLINK("https://media.infra-m.ru/1952/1952058/cover/1952058.jpg", "Обложка")</f>
        <v>Обложка</v>
      </c>
      <c r="V589" s="27" t="str">
        <f>HYPERLINK("https://znanium.com/catalog/product/1907518", "Ознакомиться")</f>
        <v>Ознакомиться</v>
      </c>
      <c r="W589" s="8" t="s">
        <v>742</v>
      </c>
      <c r="X589" s="6"/>
      <c r="Y589" s="6"/>
      <c r="Z589" s="6"/>
      <c r="AA589" s="6" t="s">
        <v>62</v>
      </c>
    </row>
    <row r="590" spans="1:27" s="4" customFormat="1" ht="51.95" customHeight="1">
      <c r="A590" s="5">
        <v>0</v>
      </c>
      <c r="B590" s="6" t="s">
        <v>3814</v>
      </c>
      <c r="C590" s="13">
        <v>1590</v>
      </c>
      <c r="D590" s="8" t="s">
        <v>3815</v>
      </c>
      <c r="E590" s="8" t="s">
        <v>3816</v>
      </c>
      <c r="F590" s="8" t="s">
        <v>1492</v>
      </c>
      <c r="G590" s="6" t="s">
        <v>67</v>
      </c>
      <c r="H590" s="6" t="s">
        <v>53</v>
      </c>
      <c r="I590" s="8" t="s">
        <v>54</v>
      </c>
      <c r="J590" s="9">
        <v>1</v>
      </c>
      <c r="K590" s="9">
        <v>340</v>
      </c>
      <c r="L590" s="9">
        <v>2024</v>
      </c>
      <c r="M590" s="8" t="s">
        <v>3817</v>
      </c>
      <c r="N590" s="8" t="s">
        <v>56</v>
      </c>
      <c r="O590" s="8" t="s">
        <v>57</v>
      </c>
      <c r="P590" s="6" t="s">
        <v>69</v>
      </c>
      <c r="Q590" s="8" t="s">
        <v>58</v>
      </c>
      <c r="R590" s="10" t="s">
        <v>3818</v>
      </c>
      <c r="S590" s="11" t="s">
        <v>3819</v>
      </c>
      <c r="T590" s="6"/>
      <c r="U590" s="27" t="str">
        <f>HYPERLINK("https://media.infra-m.ru/2095/2095588/cover/2095588.jpg", "Обложка")</f>
        <v>Обложка</v>
      </c>
      <c r="V590" s="27" t="str">
        <f>HYPERLINK("https://znanium.com/catalog/product/2095588", "Ознакомиться")</f>
        <v>Ознакомиться</v>
      </c>
      <c r="W590" s="8" t="s">
        <v>261</v>
      </c>
      <c r="X590" s="6"/>
      <c r="Y590" s="6"/>
      <c r="Z590" s="6"/>
      <c r="AA590" s="6" t="s">
        <v>93</v>
      </c>
    </row>
    <row r="591" spans="1:27" s="4" customFormat="1" ht="51.95" customHeight="1">
      <c r="A591" s="5">
        <v>0</v>
      </c>
      <c r="B591" s="6" t="s">
        <v>3820</v>
      </c>
      <c r="C591" s="13">
        <v>1514.9</v>
      </c>
      <c r="D591" s="8" t="s">
        <v>3821</v>
      </c>
      <c r="E591" s="8" t="s">
        <v>3822</v>
      </c>
      <c r="F591" s="8" t="s">
        <v>2246</v>
      </c>
      <c r="G591" s="6" t="s">
        <v>37</v>
      </c>
      <c r="H591" s="6" t="s">
        <v>53</v>
      </c>
      <c r="I591" s="8" t="s">
        <v>148</v>
      </c>
      <c r="J591" s="9">
        <v>1</v>
      </c>
      <c r="K591" s="9">
        <v>336</v>
      </c>
      <c r="L591" s="9">
        <v>2023</v>
      </c>
      <c r="M591" s="8" t="s">
        <v>3823</v>
      </c>
      <c r="N591" s="8" t="s">
        <v>56</v>
      </c>
      <c r="O591" s="8" t="s">
        <v>57</v>
      </c>
      <c r="P591" s="6" t="s">
        <v>42</v>
      </c>
      <c r="Q591" s="8" t="s">
        <v>150</v>
      </c>
      <c r="R591" s="10" t="s">
        <v>3824</v>
      </c>
      <c r="S591" s="11" t="s">
        <v>3825</v>
      </c>
      <c r="T591" s="6"/>
      <c r="U591" s="27" t="str">
        <f>HYPERLINK("https://media.infra-m.ru/1923/1923181/cover/1923181.jpg", "Обложка")</f>
        <v>Обложка</v>
      </c>
      <c r="V591" s="27" t="str">
        <f>HYPERLINK("https://znanium.com/catalog/product/1217270", "Ознакомиться")</f>
        <v>Ознакомиться</v>
      </c>
      <c r="W591" s="8" t="s">
        <v>2250</v>
      </c>
      <c r="X591" s="6"/>
      <c r="Y591" s="6"/>
      <c r="Z591" s="6"/>
      <c r="AA591" s="6" t="s">
        <v>47</v>
      </c>
    </row>
    <row r="592" spans="1:27" s="4" customFormat="1" ht="42" customHeight="1">
      <c r="A592" s="5">
        <v>0</v>
      </c>
      <c r="B592" s="6" t="s">
        <v>3826</v>
      </c>
      <c r="C592" s="7">
        <v>970</v>
      </c>
      <c r="D592" s="8" t="s">
        <v>3827</v>
      </c>
      <c r="E592" s="8" t="s">
        <v>3828</v>
      </c>
      <c r="F592" s="8" t="s">
        <v>3829</v>
      </c>
      <c r="G592" s="6" t="s">
        <v>52</v>
      </c>
      <c r="H592" s="6" t="s">
        <v>239</v>
      </c>
      <c r="I592" s="8"/>
      <c r="J592" s="9">
        <v>1</v>
      </c>
      <c r="K592" s="9">
        <v>216</v>
      </c>
      <c r="L592" s="9">
        <v>2020</v>
      </c>
      <c r="M592" s="8" t="s">
        <v>3830</v>
      </c>
      <c r="N592" s="8" t="s">
        <v>56</v>
      </c>
      <c r="O592" s="8" t="s">
        <v>57</v>
      </c>
      <c r="P592" s="6" t="s">
        <v>42</v>
      </c>
      <c r="Q592" s="8" t="s">
        <v>43</v>
      </c>
      <c r="R592" s="10" t="s">
        <v>2394</v>
      </c>
      <c r="S592" s="11"/>
      <c r="T592" s="6"/>
      <c r="U592" s="27" t="str">
        <f>HYPERLINK("https://media.infra-m.ru/1094/1094552/cover/1094552.jpg", "Обложка")</f>
        <v>Обложка</v>
      </c>
      <c r="V592" s="27" t="str">
        <f>HYPERLINK("https://znanium.com/catalog/product/959939", "Ознакомиться")</f>
        <v>Ознакомиться</v>
      </c>
      <c r="W592" s="8" t="s">
        <v>3831</v>
      </c>
      <c r="X592" s="6"/>
      <c r="Y592" s="6"/>
      <c r="Z592" s="6"/>
      <c r="AA592" s="6" t="s">
        <v>208</v>
      </c>
    </row>
    <row r="593" spans="1:27" s="4" customFormat="1" ht="51.95" customHeight="1">
      <c r="A593" s="5">
        <v>0</v>
      </c>
      <c r="B593" s="6" t="s">
        <v>3832</v>
      </c>
      <c r="C593" s="13">
        <v>1784.9</v>
      </c>
      <c r="D593" s="8" t="s">
        <v>3833</v>
      </c>
      <c r="E593" s="8" t="s">
        <v>3834</v>
      </c>
      <c r="F593" s="8" t="s">
        <v>3835</v>
      </c>
      <c r="G593" s="6" t="s">
        <v>37</v>
      </c>
      <c r="H593" s="6" t="s">
        <v>38</v>
      </c>
      <c r="I593" s="8"/>
      <c r="J593" s="9">
        <v>1</v>
      </c>
      <c r="K593" s="9">
        <v>396</v>
      </c>
      <c r="L593" s="9">
        <v>2023</v>
      </c>
      <c r="M593" s="8" t="s">
        <v>3836</v>
      </c>
      <c r="N593" s="8" t="s">
        <v>56</v>
      </c>
      <c r="O593" s="8" t="s">
        <v>57</v>
      </c>
      <c r="P593" s="6" t="s">
        <v>69</v>
      </c>
      <c r="Q593" s="8" t="s">
        <v>43</v>
      </c>
      <c r="R593" s="10" t="s">
        <v>3837</v>
      </c>
      <c r="S593" s="11" t="s">
        <v>3838</v>
      </c>
      <c r="T593" s="6"/>
      <c r="U593" s="27" t="str">
        <f>HYPERLINK("https://media.infra-m.ru/2044/2044338/cover/2044338.jpg", "Обложка")</f>
        <v>Обложка</v>
      </c>
      <c r="V593" s="12"/>
      <c r="W593" s="8" t="s">
        <v>3467</v>
      </c>
      <c r="X593" s="6"/>
      <c r="Y593" s="6"/>
      <c r="Z593" s="6"/>
      <c r="AA593" s="6" t="s">
        <v>62</v>
      </c>
    </row>
    <row r="594" spans="1:27" s="4" customFormat="1" ht="51.95" customHeight="1">
      <c r="A594" s="5">
        <v>0</v>
      </c>
      <c r="B594" s="6" t="s">
        <v>3839</v>
      </c>
      <c r="C594" s="13">
        <v>1104.9000000000001</v>
      </c>
      <c r="D594" s="8" t="s">
        <v>3840</v>
      </c>
      <c r="E594" s="8" t="s">
        <v>3841</v>
      </c>
      <c r="F594" s="8" t="s">
        <v>3842</v>
      </c>
      <c r="G594" s="6" t="s">
        <v>37</v>
      </c>
      <c r="H594" s="6" t="s">
        <v>53</v>
      </c>
      <c r="I594" s="8" t="s">
        <v>165</v>
      </c>
      <c r="J594" s="9">
        <v>1</v>
      </c>
      <c r="K594" s="9">
        <v>246</v>
      </c>
      <c r="L594" s="9">
        <v>2023</v>
      </c>
      <c r="M594" s="8" t="s">
        <v>3843</v>
      </c>
      <c r="N594" s="8" t="s">
        <v>56</v>
      </c>
      <c r="O594" s="8" t="s">
        <v>57</v>
      </c>
      <c r="P594" s="6" t="s">
        <v>42</v>
      </c>
      <c r="Q594" s="8" t="s">
        <v>43</v>
      </c>
      <c r="R594" s="10" t="s">
        <v>1675</v>
      </c>
      <c r="S594" s="11" t="s">
        <v>3844</v>
      </c>
      <c r="T594" s="6"/>
      <c r="U594" s="27" t="str">
        <f>HYPERLINK("https://media.infra-m.ru/1981/1981716/cover/1981716.jpg", "Обложка")</f>
        <v>Обложка</v>
      </c>
      <c r="V594" s="27" t="str">
        <f>HYPERLINK("https://znanium.com/catalog/product/947675", "Ознакомиться")</f>
        <v>Ознакомиться</v>
      </c>
      <c r="W594" s="8" t="s">
        <v>3845</v>
      </c>
      <c r="X594" s="6"/>
      <c r="Y594" s="6"/>
      <c r="Z594" s="6"/>
      <c r="AA594" s="6" t="s">
        <v>47</v>
      </c>
    </row>
    <row r="595" spans="1:27" s="4" customFormat="1" ht="51.95" customHeight="1">
      <c r="A595" s="5">
        <v>0</v>
      </c>
      <c r="B595" s="6" t="s">
        <v>3846</v>
      </c>
      <c r="C595" s="13">
        <v>1294.9000000000001</v>
      </c>
      <c r="D595" s="8" t="s">
        <v>3847</v>
      </c>
      <c r="E595" s="8" t="s">
        <v>3848</v>
      </c>
      <c r="F595" s="8" t="s">
        <v>3849</v>
      </c>
      <c r="G595" s="6" t="s">
        <v>52</v>
      </c>
      <c r="H595" s="6" t="s">
        <v>53</v>
      </c>
      <c r="I595" s="8" t="s">
        <v>165</v>
      </c>
      <c r="J595" s="9">
        <v>1</v>
      </c>
      <c r="K595" s="9">
        <v>288</v>
      </c>
      <c r="L595" s="9">
        <v>2023</v>
      </c>
      <c r="M595" s="8" t="s">
        <v>3850</v>
      </c>
      <c r="N595" s="8" t="s">
        <v>56</v>
      </c>
      <c r="O595" s="8" t="s">
        <v>57</v>
      </c>
      <c r="P595" s="6" t="s">
        <v>42</v>
      </c>
      <c r="Q595" s="8" t="s">
        <v>43</v>
      </c>
      <c r="R595" s="10" t="s">
        <v>3851</v>
      </c>
      <c r="S595" s="11" t="s">
        <v>3852</v>
      </c>
      <c r="T595" s="6"/>
      <c r="U595" s="27" t="str">
        <f>HYPERLINK("https://media.infra-m.ru/1971/1971852/cover/1971852.jpg", "Обложка")</f>
        <v>Обложка</v>
      </c>
      <c r="V595" s="27" t="str">
        <f>HYPERLINK("https://znanium.com/catalog/product/987772", "Ознакомиться")</f>
        <v>Ознакомиться</v>
      </c>
      <c r="W595" s="8" t="s">
        <v>3853</v>
      </c>
      <c r="X595" s="6"/>
      <c r="Y595" s="6"/>
      <c r="Z595" s="6"/>
      <c r="AA595" s="6" t="s">
        <v>3341</v>
      </c>
    </row>
    <row r="596" spans="1:27" s="4" customFormat="1" ht="51.95" customHeight="1">
      <c r="A596" s="5">
        <v>0</v>
      </c>
      <c r="B596" s="6" t="s">
        <v>3854</v>
      </c>
      <c r="C596" s="13">
        <v>1240</v>
      </c>
      <c r="D596" s="8" t="s">
        <v>3855</v>
      </c>
      <c r="E596" s="8" t="s">
        <v>3856</v>
      </c>
      <c r="F596" s="8" t="s">
        <v>3857</v>
      </c>
      <c r="G596" s="6" t="s">
        <v>67</v>
      </c>
      <c r="H596" s="6" t="s">
        <v>53</v>
      </c>
      <c r="I596" s="8" t="s">
        <v>114</v>
      </c>
      <c r="J596" s="9">
        <v>1</v>
      </c>
      <c r="K596" s="9">
        <v>276</v>
      </c>
      <c r="L596" s="9">
        <v>2023</v>
      </c>
      <c r="M596" s="8" t="s">
        <v>3858</v>
      </c>
      <c r="N596" s="8" t="s">
        <v>56</v>
      </c>
      <c r="O596" s="8" t="s">
        <v>57</v>
      </c>
      <c r="P596" s="6" t="s">
        <v>116</v>
      </c>
      <c r="Q596" s="8" t="s">
        <v>81</v>
      </c>
      <c r="R596" s="10" t="s">
        <v>3859</v>
      </c>
      <c r="S596" s="11"/>
      <c r="T596" s="6"/>
      <c r="U596" s="27" t="str">
        <f>HYPERLINK("https://media.infra-m.ru/1914/1914103/cover/1914103.jpg", "Обложка")</f>
        <v>Обложка</v>
      </c>
      <c r="V596" s="27" t="str">
        <f>HYPERLINK("https://znanium.com/catalog/product/1914103", "Ознакомиться")</f>
        <v>Ознакомиться</v>
      </c>
      <c r="W596" s="8" t="s">
        <v>1247</v>
      </c>
      <c r="X596" s="6"/>
      <c r="Y596" s="6"/>
      <c r="Z596" s="6"/>
      <c r="AA596" s="6" t="s">
        <v>288</v>
      </c>
    </row>
    <row r="597" spans="1:27" s="4" customFormat="1" ht="51.95" customHeight="1">
      <c r="A597" s="5">
        <v>0</v>
      </c>
      <c r="B597" s="6" t="s">
        <v>3860</v>
      </c>
      <c r="C597" s="13">
        <v>1880</v>
      </c>
      <c r="D597" s="8" t="s">
        <v>3861</v>
      </c>
      <c r="E597" s="8" t="s">
        <v>3862</v>
      </c>
      <c r="F597" s="8" t="s">
        <v>3849</v>
      </c>
      <c r="G597" s="6" t="s">
        <v>52</v>
      </c>
      <c r="H597" s="6" t="s">
        <v>53</v>
      </c>
      <c r="I597" s="8" t="s">
        <v>3863</v>
      </c>
      <c r="J597" s="9">
        <v>1</v>
      </c>
      <c r="K597" s="9">
        <v>320</v>
      </c>
      <c r="L597" s="9">
        <v>2022</v>
      </c>
      <c r="M597" s="8" t="s">
        <v>3864</v>
      </c>
      <c r="N597" s="8" t="s">
        <v>56</v>
      </c>
      <c r="O597" s="8" t="s">
        <v>57</v>
      </c>
      <c r="P597" s="6" t="s">
        <v>2147</v>
      </c>
      <c r="Q597" s="8" t="s">
        <v>81</v>
      </c>
      <c r="R597" s="10" t="s">
        <v>3865</v>
      </c>
      <c r="S597" s="11"/>
      <c r="T597" s="6"/>
      <c r="U597" s="27" t="str">
        <f>HYPERLINK("https://media.infra-m.ru/1946/1946504/cover/1946504.jpg", "Обложка")</f>
        <v>Обложка</v>
      </c>
      <c r="V597" s="27" t="str">
        <f>HYPERLINK("https://znanium.com/catalog/product/1907577", "Ознакомиться")</f>
        <v>Ознакомиться</v>
      </c>
      <c r="W597" s="8" t="s">
        <v>3853</v>
      </c>
      <c r="X597" s="6"/>
      <c r="Y597" s="6"/>
      <c r="Z597" s="6"/>
      <c r="AA597" s="6" t="s">
        <v>62</v>
      </c>
    </row>
    <row r="598" spans="1:27" s="4" customFormat="1" ht="51.95" customHeight="1">
      <c r="A598" s="5">
        <v>0</v>
      </c>
      <c r="B598" s="6" t="s">
        <v>3866</v>
      </c>
      <c r="C598" s="13">
        <v>1300</v>
      </c>
      <c r="D598" s="8" t="s">
        <v>3867</v>
      </c>
      <c r="E598" s="8" t="s">
        <v>3868</v>
      </c>
      <c r="F598" s="8" t="s">
        <v>3869</v>
      </c>
      <c r="G598" s="6" t="s">
        <v>67</v>
      </c>
      <c r="H598" s="6" t="s">
        <v>53</v>
      </c>
      <c r="I598" s="8" t="s">
        <v>54</v>
      </c>
      <c r="J598" s="9">
        <v>1</v>
      </c>
      <c r="K598" s="9">
        <v>290</v>
      </c>
      <c r="L598" s="9">
        <v>2023</v>
      </c>
      <c r="M598" s="8" t="s">
        <v>3870</v>
      </c>
      <c r="N598" s="8" t="s">
        <v>56</v>
      </c>
      <c r="O598" s="8" t="s">
        <v>57</v>
      </c>
      <c r="P598" s="6" t="s">
        <v>69</v>
      </c>
      <c r="Q598" s="8" t="s">
        <v>58</v>
      </c>
      <c r="R598" s="10" t="s">
        <v>3871</v>
      </c>
      <c r="S598" s="11" t="s">
        <v>3872</v>
      </c>
      <c r="T598" s="6"/>
      <c r="U598" s="27" t="str">
        <f>HYPERLINK("https://media.infra-m.ru/2020/2020563/cover/2020563.jpg", "Обложка")</f>
        <v>Обложка</v>
      </c>
      <c r="V598" s="27" t="str">
        <f>HYPERLINK("https://znanium.com/catalog/product/2020563", "Ознакомиться")</f>
        <v>Ознакомиться</v>
      </c>
      <c r="W598" s="8"/>
      <c r="X598" s="6"/>
      <c r="Y598" s="6"/>
      <c r="Z598" s="6"/>
      <c r="AA598" s="6" t="s">
        <v>1335</v>
      </c>
    </row>
    <row r="599" spans="1:27" s="4" customFormat="1" ht="51.95" customHeight="1">
      <c r="A599" s="5">
        <v>0</v>
      </c>
      <c r="B599" s="6" t="s">
        <v>3873</v>
      </c>
      <c r="C599" s="13">
        <v>1220</v>
      </c>
      <c r="D599" s="8" t="s">
        <v>3874</v>
      </c>
      <c r="E599" s="8" t="s">
        <v>3875</v>
      </c>
      <c r="F599" s="8" t="s">
        <v>3876</v>
      </c>
      <c r="G599" s="6" t="s">
        <v>37</v>
      </c>
      <c r="H599" s="6" t="s">
        <v>53</v>
      </c>
      <c r="I599" s="8" t="s">
        <v>165</v>
      </c>
      <c r="J599" s="9">
        <v>1</v>
      </c>
      <c r="K599" s="9">
        <v>261</v>
      </c>
      <c r="L599" s="9">
        <v>2023</v>
      </c>
      <c r="M599" s="8" t="s">
        <v>3877</v>
      </c>
      <c r="N599" s="8" t="s">
        <v>56</v>
      </c>
      <c r="O599" s="8" t="s">
        <v>57</v>
      </c>
      <c r="P599" s="6" t="s">
        <v>69</v>
      </c>
      <c r="Q599" s="8" t="s">
        <v>43</v>
      </c>
      <c r="R599" s="10" t="s">
        <v>1245</v>
      </c>
      <c r="S599" s="11" t="s">
        <v>3878</v>
      </c>
      <c r="T599" s="6"/>
      <c r="U599" s="27" t="str">
        <f>HYPERLINK("https://media.infra-m.ru/1863/1863109/cover/1863109.jpg", "Обложка")</f>
        <v>Обложка</v>
      </c>
      <c r="V599" s="27" t="str">
        <f>HYPERLINK("https://znanium.com/catalog/product/1863109", "Ознакомиться")</f>
        <v>Ознакомиться</v>
      </c>
      <c r="W599" s="8" t="s">
        <v>583</v>
      </c>
      <c r="X599" s="6"/>
      <c r="Y599" s="6"/>
      <c r="Z599" s="6"/>
      <c r="AA599" s="6" t="s">
        <v>93</v>
      </c>
    </row>
    <row r="600" spans="1:27" s="4" customFormat="1" ht="51.95" customHeight="1">
      <c r="A600" s="5">
        <v>0</v>
      </c>
      <c r="B600" s="6" t="s">
        <v>3879</v>
      </c>
      <c r="C600" s="13">
        <v>1674</v>
      </c>
      <c r="D600" s="8" t="s">
        <v>3880</v>
      </c>
      <c r="E600" s="8" t="s">
        <v>3875</v>
      </c>
      <c r="F600" s="8" t="s">
        <v>2221</v>
      </c>
      <c r="G600" s="6" t="s">
        <v>37</v>
      </c>
      <c r="H600" s="6" t="s">
        <v>53</v>
      </c>
      <c r="I600" s="8" t="s">
        <v>54</v>
      </c>
      <c r="J600" s="9">
        <v>1</v>
      </c>
      <c r="K600" s="9">
        <v>365</v>
      </c>
      <c r="L600" s="9">
        <v>2024</v>
      </c>
      <c r="M600" s="8" t="s">
        <v>3881</v>
      </c>
      <c r="N600" s="8" t="s">
        <v>56</v>
      </c>
      <c r="O600" s="8" t="s">
        <v>57</v>
      </c>
      <c r="P600" s="6" t="s">
        <v>69</v>
      </c>
      <c r="Q600" s="8" t="s">
        <v>43</v>
      </c>
      <c r="R600" s="10" t="s">
        <v>3882</v>
      </c>
      <c r="S600" s="11" t="s">
        <v>3883</v>
      </c>
      <c r="T600" s="6"/>
      <c r="U600" s="27" t="str">
        <f>HYPERLINK("https://media.infra-m.ru/2093/2093906/cover/2093906.jpg", "Обложка")</f>
        <v>Обложка</v>
      </c>
      <c r="V600" s="27" t="str">
        <f>HYPERLINK("https://znanium.com/catalog/product/1190690", "Ознакомиться")</f>
        <v>Ознакомиться</v>
      </c>
      <c r="W600" s="8" t="s">
        <v>2225</v>
      </c>
      <c r="X600" s="6"/>
      <c r="Y600" s="6"/>
      <c r="Z600" s="6"/>
      <c r="AA600" s="6" t="s">
        <v>62</v>
      </c>
    </row>
    <row r="601" spans="1:27" s="4" customFormat="1" ht="51.95" customHeight="1">
      <c r="A601" s="5">
        <v>0</v>
      </c>
      <c r="B601" s="6" t="s">
        <v>3884</v>
      </c>
      <c r="C601" s="13">
        <v>1444.9</v>
      </c>
      <c r="D601" s="8" t="s">
        <v>3885</v>
      </c>
      <c r="E601" s="8" t="s">
        <v>3875</v>
      </c>
      <c r="F601" s="8" t="s">
        <v>3886</v>
      </c>
      <c r="G601" s="6" t="s">
        <v>37</v>
      </c>
      <c r="H601" s="6" t="s">
        <v>53</v>
      </c>
      <c r="I601" s="8" t="s">
        <v>54</v>
      </c>
      <c r="J601" s="9">
        <v>1</v>
      </c>
      <c r="K601" s="9">
        <v>320</v>
      </c>
      <c r="L601" s="9">
        <v>2023</v>
      </c>
      <c r="M601" s="8" t="s">
        <v>3887</v>
      </c>
      <c r="N601" s="8" t="s">
        <v>56</v>
      </c>
      <c r="O601" s="8" t="s">
        <v>57</v>
      </c>
      <c r="P601" s="6" t="s">
        <v>69</v>
      </c>
      <c r="Q601" s="8" t="s">
        <v>43</v>
      </c>
      <c r="R601" s="10" t="s">
        <v>3888</v>
      </c>
      <c r="S601" s="11" t="s">
        <v>3889</v>
      </c>
      <c r="T601" s="6" t="s">
        <v>277</v>
      </c>
      <c r="U601" s="27" t="str">
        <f>HYPERLINK("https://media.infra-m.ru/1914/1914106/cover/1914106.jpg", "Обложка")</f>
        <v>Обложка</v>
      </c>
      <c r="V601" s="27" t="str">
        <f>HYPERLINK("https://znanium.com/catalog/product/1941765", "Ознакомиться")</f>
        <v>Ознакомиться</v>
      </c>
      <c r="W601" s="8" t="s">
        <v>72</v>
      </c>
      <c r="X601" s="6"/>
      <c r="Y601" s="6"/>
      <c r="Z601" s="6"/>
      <c r="AA601" s="6" t="s">
        <v>62</v>
      </c>
    </row>
    <row r="602" spans="1:27" s="4" customFormat="1" ht="51.95" customHeight="1">
      <c r="A602" s="5">
        <v>0</v>
      </c>
      <c r="B602" s="6" t="s">
        <v>3890</v>
      </c>
      <c r="C602" s="13">
        <v>1194</v>
      </c>
      <c r="D602" s="8" t="s">
        <v>3891</v>
      </c>
      <c r="E602" s="8" t="s">
        <v>3875</v>
      </c>
      <c r="F602" s="8" t="s">
        <v>3892</v>
      </c>
      <c r="G602" s="6" t="s">
        <v>37</v>
      </c>
      <c r="H602" s="6" t="s">
        <v>53</v>
      </c>
      <c r="I602" s="8" t="s">
        <v>3893</v>
      </c>
      <c r="J602" s="9">
        <v>1</v>
      </c>
      <c r="K602" s="9">
        <v>263</v>
      </c>
      <c r="L602" s="9">
        <v>2023</v>
      </c>
      <c r="M602" s="8" t="s">
        <v>3894</v>
      </c>
      <c r="N602" s="8" t="s">
        <v>56</v>
      </c>
      <c r="O602" s="8" t="s">
        <v>57</v>
      </c>
      <c r="P602" s="6" t="s">
        <v>69</v>
      </c>
      <c r="Q602" s="8" t="s">
        <v>43</v>
      </c>
      <c r="R602" s="10" t="s">
        <v>300</v>
      </c>
      <c r="S602" s="11" t="s">
        <v>3895</v>
      </c>
      <c r="T602" s="6"/>
      <c r="U602" s="27" t="str">
        <f>HYPERLINK("https://media.infra-m.ru/2006/2006825/cover/2006825.jpg", "Обложка")</f>
        <v>Обложка</v>
      </c>
      <c r="V602" s="27" t="str">
        <f>HYPERLINK("https://znanium.com/catalog/product/958515", "Ознакомиться")</f>
        <v>Ознакомиться</v>
      </c>
      <c r="W602" s="8" t="s">
        <v>3845</v>
      </c>
      <c r="X602" s="6"/>
      <c r="Y602" s="6"/>
      <c r="Z602" s="6"/>
      <c r="AA602" s="6" t="s">
        <v>143</v>
      </c>
    </row>
    <row r="603" spans="1:27" s="4" customFormat="1" ht="51.95" customHeight="1">
      <c r="A603" s="5">
        <v>0</v>
      </c>
      <c r="B603" s="6" t="s">
        <v>3896</v>
      </c>
      <c r="C603" s="13">
        <v>1244</v>
      </c>
      <c r="D603" s="8" t="s">
        <v>3897</v>
      </c>
      <c r="E603" s="8" t="s">
        <v>3875</v>
      </c>
      <c r="F603" s="8" t="s">
        <v>3898</v>
      </c>
      <c r="G603" s="6" t="s">
        <v>67</v>
      </c>
      <c r="H603" s="6" t="s">
        <v>53</v>
      </c>
      <c r="I603" s="8" t="s">
        <v>165</v>
      </c>
      <c r="J603" s="9">
        <v>1</v>
      </c>
      <c r="K603" s="9">
        <v>271</v>
      </c>
      <c r="L603" s="9">
        <v>2024</v>
      </c>
      <c r="M603" s="8" t="s">
        <v>3899</v>
      </c>
      <c r="N603" s="8" t="s">
        <v>56</v>
      </c>
      <c r="O603" s="8" t="s">
        <v>57</v>
      </c>
      <c r="P603" s="6" t="s">
        <v>69</v>
      </c>
      <c r="Q603" s="8" t="s">
        <v>43</v>
      </c>
      <c r="R603" s="10" t="s">
        <v>2685</v>
      </c>
      <c r="S603" s="11" t="s">
        <v>3900</v>
      </c>
      <c r="T603" s="6"/>
      <c r="U603" s="27" t="str">
        <f>HYPERLINK("https://media.infra-m.ru/2079/2079678/cover/2079678.jpg", "Обложка")</f>
        <v>Обложка</v>
      </c>
      <c r="V603" s="27" t="str">
        <f>HYPERLINK("https://znanium.com/catalog/product/1095689", "Ознакомиться")</f>
        <v>Ознакомиться</v>
      </c>
      <c r="W603" s="8" t="s">
        <v>3901</v>
      </c>
      <c r="X603" s="6"/>
      <c r="Y603" s="6"/>
      <c r="Z603" s="6"/>
      <c r="AA603" s="6" t="s">
        <v>308</v>
      </c>
    </row>
    <row r="604" spans="1:27" s="4" customFormat="1" ht="51.95" customHeight="1">
      <c r="A604" s="5">
        <v>0</v>
      </c>
      <c r="B604" s="6" t="s">
        <v>3902</v>
      </c>
      <c r="C604" s="7">
        <v>724.9</v>
      </c>
      <c r="D604" s="8" t="s">
        <v>3903</v>
      </c>
      <c r="E604" s="8" t="s">
        <v>3868</v>
      </c>
      <c r="F604" s="8" t="s">
        <v>3904</v>
      </c>
      <c r="G604" s="6" t="s">
        <v>37</v>
      </c>
      <c r="H604" s="6" t="s">
        <v>53</v>
      </c>
      <c r="I604" s="8" t="s">
        <v>54</v>
      </c>
      <c r="J604" s="9">
        <v>1</v>
      </c>
      <c r="K604" s="9">
        <v>160</v>
      </c>
      <c r="L604" s="9">
        <v>2023</v>
      </c>
      <c r="M604" s="8" t="s">
        <v>3905</v>
      </c>
      <c r="N604" s="8" t="s">
        <v>56</v>
      </c>
      <c r="O604" s="8" t="s">
        <v>57</v>
      </c>
      <c r="P604" s="6" t="s">
        <v>42</v>
      </c>
      <c r="Q604" s="8" t="s">
        <v>43</v>
      </c>
      <c r="R604" s="10" t="s">
        <v>3906</v>
      </c>
      <c r="S604" s="11" t="s">
        <v>2620</v>
      </c>
      <c r="T604" s="6"/>
      <c r="U604" s="27" t="str">
        <f>HYPERLINK("https://media.infra-m.ru/1971/1971844/cover/1971844.jpg", "Обложка")</f>
        <v>Обложка</v>
      </c>
      <c r="V604" s="27" t="str">
        <f>HYPERLINK("https://znanium.com/catalog/product/994456", "Ознакомиться")</f>
        <v>Ознакомиться</v>
      </c>
      <c r="W604" s="8" t="s">
        <v>2366</v>
      </c>
      <c r="X604" s="6"/>
      <c r="Y604" s="6"/>
      <c r="Z604" s="6"/>
      <c r="AA604" s="6" t="s">
        <v>463</v>
      </c>
    </row>
    <row r="605" spans="1:27" s="4" customFormat="1" ht="51.95" customHeight="1">
      <c r="A605" s="5">
        <v>0</v>
      </c>
      <c r="B605" s="6" t="s">
        <v>3907</v>
      </c>
      <c r="C605" s="7">
        <v>964</v>
      </c>
      <c r="D605" s="8" t="s">
        <v>3908</v>
      </c>
      <c r="E605" s="8" t="s">
        <v>3868</v>
      </c>
      <c r="F605" s="8" t="s">
        <v>3909</v>
      </c>
      <c r="G605" s="6" t="s">
        <v>37</v>
      </c>
      <c r="H605" s="6" t="s">
        <v>53</v>
      </c>
      <c r="I605" s="8" t="s">
        <v>165</v>
      </c>
      <c r="J605" s="9">
        <v>1</v>
      </c>
      <c r="K605" s="9">
        <v>208</v>
      </c>
      <c r="L605" s="9">
        <v>2024</v>
      </c>
      <c r="M605" s="8" t="s">
        <v>3910</v>
      </c>
      <c r="N605" s="8" t="s">
        <v>56</v>
      </c>
      <c r="O605" s="8" t="s">
        <v>57</v>
      </c>
      <c r="P605" s="6" t="s">
        <v>42</v>
      </c>
      <c r="Q605" s="8" t="s">
        <v>43</v>
      </c>
      <c r="R605" s="10" t="s">
        <v>3911</v>
      </c>
      <c r="S605" s="11" t="s">
        <v>3912</v>
      </c>
      <c r="T605" s="6"/>
      <c r="U605" s="27" t="str">
        <f>HYPERLINK("https://media.infra-m.ru/2054/2054993/cover/2054993.jpg", "Обложка")</f>
        <v>Обложка</v>
      </c>
      <c r="V605" s="27" t="str">
        <f>HYPERLINK("https://znanium.com/catalog/product/1832152", "Ознакомиться")</f>
        <v>Ознакомиться</v>
      </c>
      <c r="W605" s="8" t="s">
        <v>3913</v>
      </c>
      <c r="X605" s="6"/>
      <c r="Y605" s="6"/>
      <c r="Z605" s="6"/>
      <c r="AA605" s="6" t="s">
        <v>795</v>
      </c>
    </row>
    <row r="606" spans="1:27" s="4" customFormat="1" ht="51.95" customHeight="1">
      <c r="A606" s="5">
        <v>0</v>
      </c>
      <c r="B606" s="6" t="s">
        <v>3914</v>
      </c>
      <c r="C606" s="7">
        <v>594.9</v>
      </c>
      <c r="D606" s="8" t="s">
        <v>3915</v>
      </c>
      <c r="E606" s="8" t="s">
        <v>3875</v>
      </c>
      <c r="F606" s="8" t="s">
        <v>3916</v>
      </c>
      <c r="G606" s="6" t="s">
        <v>37</v>
      </c>
      <c r="H606" s="6" t="s">
        <v>98</v>
      </c>
      <c r="I606" s="8" t="s">
        <v>165</v>
      </c>
      <c r="J606" s="9">
        <v>1</v>
      </c>
      <c r="K606" s="9">
        <v>176</v>
      </c>
      <c r="L606" s="9">
        <v>2020</v>
      </c>
      <c r="M606" s="8" t="s">
        <v>3917</v>
      </c>
      <c r="N606" s="8" t="s">
        <v>56</v>
      </c>
      <c r="O606" s="8" t="s">
        <v>57</v>
      </c>
      <c r="P606" s="6" t="s">
        <v>42</v>
      </c>
      <c r="Q606" s="8" t="s">
        <v>43</v>
      </c>
      <c r="R606" s="10" t="s">
        <v>3918</v>
      </c>
      <c r="S606" s="11" t="s">
        <v>3919</v>
      </c>
      <c r="T606" s="6"/>
      <c r="U606" s="27" t="str">
        <f>HYPERLINK("https://media.infra-m.ru/1083/1083434/cover/1083434.jpg", "Обложка")</f>
        <v>Обложка</v>
      </c>
      <c r="V606" s="27" t="str">
        <f>HYPERLINK("https://znanium.com/catalog/product/959950", "Ознакомиться")</f>
        <v>Ознакомиться</v>
      </c>
      <c r="W606" s="8" t="s">
        <v>614</v>
      </c>
      <c r="X606" s="6"/>
      <c r="Y606" s="6"/>
      <c r="Z606" s="6"/>
      <c r="AA606" s="6" t="s">
        <v>208</v>
      </c>
    </row>
    <row r="607" spans="1:27" s="4" customFormat="1" ht="51.95" customHeight="1">
      <c r="A607" s="5">
        <v>0</v>
      </c>
      <c r="B607" s="6" t="s">
        <v>3920</v>
      </c>
      <c r="C607" s="13">
        <v>1054</v>
      </c>
      <c r="D607" s="8" t="s">
        <v>3921</v>
      </c>
      <c r="E607" s="8" t="s">
        <v>3875</v>
      </c>
      <c r="F607" s="8" t="s">
        <v>3922</v>
      </c>
      <c r="G607" s="6" t="s">
        <v>52</v>
      </c>
      <c r="H607" s="6" t="s">
        <v>98</v>
      </c>
      <c r="I607" s="8" t="s">
        <v>165</v>
      </c>
      <c r="J607" s="9">
        <v>1</v>
      </c>
      <c r="K607" s="9">
        <v>228</v>
      </c>
      <c r="L607" s="9">
        <v>2024</v>
      </c>
      <c r="M607" s="8" t="s">
        <v>3923</v>
      </c>
      <c r="N607" s="8" t="s">
        <v>56</v>
      </c>
      <c r="O607" s="8" t="s">
        <v>57</v>
      </c>
      <c r="P607" s="6" t="s">
        <v>42</v>
      </c>
      <c r="Q607" s="8" t="s">
        <v>43</v>
      </c>
      <c r="R607" s="10" t="s">
        <v>3924</v>
      </c>
      <c r="S607" s="11"/>
      <c r="T607" s="6"/>
      <c r="U607" s="27" t="str">
        <f>HYPERLINK("https://media.infra-m.ru/1850/1850687/cover/1850687.jpg", "Обложка")</f>
        <v>Обложка</v>
      </c>
      <c r="V607" s="27" t="str">
        <f>HYPERLINK("https://znanium.com/catalog/product/1072224", "Ознакомиться")</f>
        <v>Ознакомиться</v>
      </c>
      <c r="W607" s="8"/>
      <c r="X607" s="6"/>
      <c r="Y607" s="6"/>
      <c r="Z607" s="6"/>
      <c r="AA607" s="6" t="s">
        <v>47</v>
      </c>
    </row>
    <row r="608" spans="1:27" s="4" customFormat="1" ht="51.95" customHeight="1">
      <c r="A608" s="5">
        <v>0</v>
      </c>
      <c r="B608" s="6" t="s">
        <v>3925</v>
      </c>
      <c r="C608" s="13">
        <v>1354</v>
      </c>
      <c r="D608" s="8" t="s">
        <v>3926</v>
      </c>
      <c r="E608" s="8" t="s">
        <v>3868</v>
      </c>
      <c r="F608" s="8" t="s">
        <v>3927</v>
      </c>
      <c r="G608" s="6" t="s">
        <v>67</v>
      </c>
      <c r="H608" s="6" t="s">
        <v>53</v>
      </c>
      <c r="I608" s="8" t="s">
        <v>165</v>
      </c>
      <c r="J608" s="9">
        <v>1</v>
      </c>
      <c r="K608" s="9">
        <v>294</v>
      </c>
      <c r="L608" s="9">
        <v>2024</v>
      </c>
      <c r="M608" s="8" t="s">
        <v>3928</v>
      </c>
      <c r="N608" s="8" t="s">
        <v>56</v>
      </c>
      <c r="O608" s="8" t="s">
        <v>57</v>
      </c>
      <c r="P608" s="6" t="s">
        <v>42</v>
      </c>
      <c r="Q608" s="8" t="s">
        <v>43</v>
      </c>
      <c r="R608" s="10" t="s">
        <v>3888</v>
      </c>
      <c r="S608" s="11" t="s">
        <v>3929</v>
      </c>
      <c r="T608" s="6"/>
      <c r="U608" s="27" t="str">
        <f>HYPERLINK("https://media.infra-m.ru/1845/1845850/cover/1845850.jpg", "Обложка")</f>
        <v>Обложка</v>
      </c>
      <c r="V608" s="27" t="str">
        <f>HYPERLINK("https://znanium.com/catalog/product/1391566", "Ознакомиться")</f>
        <v>Ознакомиться</v>
      </c>
      <c r="W608" s="8" t="s">
        <v>72</v>
      </c>
      <c r="X608" s="6"/>
      <c r="Y608" s="6"/>
      <c r="Z608" s="6"/>
      <c r="AA608" s="6" t="s">
        <v>1214</v>
      </c>
    </row>
    <row r="609" spans="1:27" s="4" customFormat="1" ht="51.95" customHeight="1">
      <c r="A609" s="5">
        <v>0</v>
      </c>
      <c r="B609" s="6" t="s">
        <v>3930</v>
      </c>
      <c r="C609" s="7">
        <v>914.9</v>
      </c>
      <c r="D609" s="8" t="s">
        <v>3931</v>
      </c>
      <c r="E609" s="8" t="s">
        <v>3875</v>
      </c>
      <c r="F609" s="8" t="s">
        <v>3932</v>
      </c>
      <c r="G609" s="6" t="s">
        <v>37</v>
      </c>
      <c r="H609" s="6" t="s">
        <v>867</v>
      </c>
      <c r="I609" s="8" t="s">
        <v>54</v>
      </c>
      <c r="J609" s="9">
        <v>1</v>
      </c>
      <c r="K609" s="9">
        <v>285</v>
      </c>
      <c r="L609" s="9">
        <v>2019</v>
      </c>
      <c r="M609" s="8" t="s">
        <v>3933</v>
      </c>
      <c r="N609" s="8" t="s">
        <v>56</v>
      </c>
      <c r="O609" s="8" t="s">
        <v>57</v>
      </c>
      <c r="P609" s="6" t="s">
        <v>42</v>
      </c>
      <c r="Q609" s="8" t="s">
        <v>43</v>
      </c>
      <c r="R609" s="10" t="s">
        <v>3888</v>
      </c>
      <c r="S609" s="11" t="s">
        <v>3934</v>
      </c>
      <c r="T609" s="6"/>
      <c r="U609" s="27" t="str">
        <f>HYPERLINK("https://media.infra-m.ru/0990/0990419/cover/990419.jpg", "Обложка")</f>
        <v>Обложка</v>
      </c>
      <c r="V609" s="27" t="str">
        <f>HYPERLINK("https://znanium.com/catalog/product/1391566", "Ознакомиться")</f>
        <v>Ознакомиться</v>
      </c>
      <c r="W609" s="8" t="s">
        <v>72</v>
      </c>
      <c r="X609" s="6"/>
      <c r="Y609" s="6"/>
      <c r="Z609" s="6"/>
      <c r="AA609" s="6" t="s">
        <v>548</v>
      </c>
    </row>
    <row r="610" spans="1:27" s="4" customFormat="1" ht="51.95" customHeight="1">
      <c r="A610" s="5">
        <v>0</v>
      </c>
      <c r="B610" s="6" t="s">
        <v>3935</v>
      </c>
      <c r="C610" s="7">
        <v>350</v>
      </c>
      <c r="D610" s="8" t="s">
        <v>3936</v>
      </c>
      <c r="E610" s="8" t="s">
        <v>3937</v>
      </c>
      <c r="F610" s="8" t="s">
        <v>3938</v>
      </c>
      <c r="G610" s="6" t="s">
        <v>52</v>
      </c>
      <c r="H610" s="6" t="s">
        <v>98</v>
      </c>
      <c r="I610" s="8" t="s">
        <v>565</v>
      </c>
      <c r="J610" s="9">
        <v>1</v>
      </c>
      <c r="K610" s="9">
        <v>106</v>
      </c>
      <c r="L610" s="9">
        <v>2020</v>
      </c>
      <c r="M610" s="8" t="s">
        <v>3939</v>
      </c>
      <c r="N610" s="8" t="s">
        <v>56</v>
      </c>
      <c r="O610" s="8" t="s">
        <v>57</v>
      </c>
      <c r="P610" s="6" t="s">
        <v>42</v>
      </c>
      <c r="Q610" s="8" t="s">
        <v>43</v>
      </c>
      <c r="R610" s="10" t="s">
        <v>3940</v>
      </c>
      <c r="S610" s="11"/>
      <c r="T610" s="6"/>
      <c r="U610" s="27" t="str">
        <f>HYPERLINK("https://media.infra-m.ru/1052/1052210/cover/1052210.jpg", "Обложка")</f>
        <v>Обложка</v>
      </c>
      <c r="V610" s="27" t="str">
        <f>HYPERLINK("https://znanium.com/catalog/product/1052210", "Ознакомиться")</f>
        <v>Ознакомиться</v>
      </c>
      <c r="W610" s="8" t="s">
        <v>982</v>
      </c>
      <c r="X610" s="6"/>
      <c r="Y610" s="6"/>
      <c r="Z610" s="6"/>
      <c r="AA610" s="6" t="s">
        <v>365</v>
      </c>
    </row>
    <row r="611" spans="1:27" s="4" customFormat="1" ht="51.95" customHeight="1">
      <c r="A611" s="5">
        <v>0</v>
      </c>
      <c r="B611" s="6" t="s">
        <v>3941</v>
      </c>
      <c r="C611" s="7">
        <v>854</v>
      </c>
      <c r="D611" s="8" t="s">
        <v>3942</v>
      </c>
      <c r="E611" s="8" t="s">
        <v>3937</v>
      </c>
      <c r="F611" s="8" t="s">
        <v>3943</v>
      </c>
      <c r="G611" s="6" t="s">
        <v>37</v>
      </c>
      <c r="H611" s="6" t="s">
        <v>98</v>
      </c>
      <c r="I611" s="8" t="s">
        <v>1067</v>
      </c>
      <c r="J611" s="9">
        <v>1</v>
      </c>
      <c r="K611" s="9">
        <v>184</v>
      </c>
      <c r="L611" s="9">
        <v>2024</v>
      </c>
      <c r="M611" s="8" t="s">
        <v>3944</v>
      </c>
      <c r="N611" s="8" t="s">
        <v>56</v>
      </c>
      <c r="O611" s="8" t="s">
        <v>57</v>
      </c>
      <c r="P611" s="6" t="s">
        <v>42</v>
      </c>
      <c r="Q611" s="8" t="s">
        <v>43</v>
      </c>
      <c r="R611" s="10" t="s">
        <v>3945</v>
      </c>
      <c r="S611" s="11" t="s">
        <v>1081</v>
      </c>
      <c r="T611" s="6"/>
      <c r="U611" s="27" t="str">
        <f>HYPERLINK("https://media.infra-m.ru/1981/1981584/cover/1981584.jpg", "Обложка")</f>
        <v>Обложка</v>
      </c>
      <c r="V611" s="27" t="str">
        <f>HYPERLINK("https://znanium.com/catalog/product/1002363", "Ознакомиться")</f>
        <v>Ознакомиться</v>
      </c>
      <c r="W611" s="8"/>
      <c r="X611" s="6"/>
      <c r="Y611" s="6"/>
      <c r="Z611" s="6"/>
      <c r="AA611" s="6" t="s">
        <v>2473</v>
      </c>
    </row>
    <row r="612" spans="1:27" s="4" customFormat="1" ht="51.95" customHeight="1">
      <c r="A612" s="5">
        <v>0</v>
      </c>
      <c r="B612" s="6" t="s">
        <v>3946</v>
      </c>
      <c r="C612" s="7">
        <v>54.9</v>
      </c>
      <c r="D612" s="8" t="s">
        <v>3947</v>
      </c>
      <c r="E612" s="8" t="s">
        <v>3875</v>
      </c>
      <c r="F612" s="8"/>
      <c r="G612" s="6" t="s">
        <v>52</v>
      </c>
      <c r="H612" s="6" t="s">
        <v>98</v>
      </c>
      <c r="I612" s="8" t="s">
        <v>297</v>
      </c>
      <c r="J612" s="9">
        <v>1</v>
      </c>
      <c r="K612" s="9">
        <v>79</v>
      </c>
      <c r="L612" s="9">
        <v>2016</v>
      </c>
      <c r="M612" s="8" t="s">
        <v>3948</v>
      </c>
      <c r="N612" s="8" t="s">
        <v>56</v>
      </c>
      <c r="O612" s="8" t="s">
        <v>57</v>
      </c>
      <c r="P612" s="6" t="s">
        <v>299</v>
      </c>
      <c r="Q612" s="8" t="s">
        <v>43</v>
      </c>
      <c r="R612" s="10" t="s">
        <v>3949</v>
      </c>
      <c r="S612" s="11"/>
      <c r="T612" s="6"/>
      <c r="U612" s="12"/>
      <c r="V612" s="27" t="str">
        <f>HYPERLINK("https://znanium.com/catalog/product/614820", "Ознакомиться")</f>
        <v>Ознакомиться</v>
      </c>
      <c r="W612" s="8"/>
      <c r="X612" s="6"/>
      <c r="Y612" s="6"/>
      <c r="Z612" s="6"/>
      <c r="AA612" s="6" t="s">
        <v>548</v>
      </c>
    </row>
    <row r="613" spans="1:27" s="4" customFormat="1" ht="51.95" customHeight="1">
      <c r="A613" s="5">
        <v>0</v>
      </c>
      <c r="B613" s="6" t="s">
        <v>3950</v>
      </c>
      <c r="C613" s="13">
        <v>1190</v>
      </c>
      <c r="D613" s="8" t="s">
        <v>3951</v>
      </c>
      <c r="E613" s="8" t="s">
        <v>3952</v>
      </c>
      <c r="F613" s="8" t="s">
        <v>3953</v>
      </c>
      <c r="G613" s="6" t="s">
        <v>37</v>
      </c>
      <c r="H613" s="6" t="s">
        <v>53</v>
      </c>
      <c r="I613" s="8" t="s">
        <v>148</v>
      </c>
      <c r="J613" s="9">
        <v>1</v>
      </c>
      <c r="K613" s="9">
        <v>272</v>
      </c>
      <c r="L613" s="9">
        <v>2023</v>
      </c>
      <c r="M613" s="8" t="s">
        <v>3954</v>
      </c>
      <c r="N613" s="8" t="s">
        <v>56</v>
      </c>
      <c r="O613" s="8" t="s">
        <v>57</v>
      </c>
      <c r="P613" s="6" t="s">
        <v>42</v>
      </c>
      <c r="Q613" s="8" t="s">
        <v>150</v>
      </c>
      <c r="R613" s="10" t="s">
        <v>3955</v>
      </c>
      <c r="S613" s="11" t="s">
        <v>3956</v>
      </c>
      <c r="T613" s="6"/>
      <c r="U613" s="27" t="str">
        <f>HYPERLINK("https://media.infra-m.ru/1842/1842522/cover/1842522.jpg", "Обложка")</f>
        <v>Обложка</v>
      </c>
      <c r="V613" s="27" t="str">
        <f>HYPERLINK("https://znanium.com/catalog/product/1842522", "Ознакомиться")</f>
        <v>Ознакомиться</v>
      </c>
      <c r="W613" s="8" t="s">
        <v>1935</v>
      </c>
      <c r="X613" s="6"/>
      <c r="Y613" s="6"/>
      <c r="Z613" s="6"/>
      <c r="AA613" s="6" t="s">
        <v>93</v>
      </c>
    </row>
    <row r="614" spans="1:27" s="4" customFormat="1" ht="44.1" customHeight="1">
      <c r="A614" s="5">
        <v>0</v>
      </c>
      <c r="B614" s="6" t="s">
        <v>3957</v>
      </c>
      <c r="C614" s="13">
        <v>1550</v>
      </c>
      <c r="D614" s="8" t="s">
        <v>3958</v>
      </c>
      <c r="E614" s="8" t="s">
        <v>3959</v>
      </c>
      <c r="F614" s="8" t="s">
        <v>3960</v>
      </c>
      <c r="G614" s="6" t="s">
        <v>67</v>
      </c>
      <c r="H614" s="6" t="s">
        <v>53</v>
      </c>
      <c r="I614" s="8" t="s">
        <v>3283</v>
      </c>
      <c r="J614" s="9">
        <v>1</v>
      </c>
      <c r="K614" s="9">
        <v>344</v>
      </c>
      <c r="L614" s="9">
        <v>2023</v>
      </c>
      <c r="M614" s="8" t="s">
        <v>3961</v>
      </c>
      <c r="N614" s="8" t="s">
        <v>56</v>
      </c>
      <c r="O614" s="8" t="s">
        <v>57</v>
      </c>
      <c r="P614" s="6" t="s">
        <v>116</v>
      </c>
      <c r="Q614" s="8" t="s">
        <v>81</v>
      </c>
      <c r="R614" s="10" t="s">
        <v>3962</v>
      </c>
      <c r="S614" s="11"/>
      <c r="T614" s="6"/>
      <c r="U614" s="27" t="str">
        <f>HYPERLINK("https://media.infra-m.ru/1939/1939098/cover/1939098.jpg", "Обложка")</f>
        <v>Обложка</v>
      </c>
      <c r="V614" s="27" t="str">
        <f>HYPERLINK("https://znanium.com/catalog/product/1939098", "Ознакомиться")</f>
        <v>Ознакомиться</v>
      </c>
      <c r="W614" s="8" t="s">
        <v>46</v>
      </c>
      <c r="X614" s="6"/>
      <c r="Y614" s="6"/>
      <c r="Z614" s="6"/>
      <c r="AA614" s="6" t="s">
        <v>143</v>
      </c>
    </row>
    <row r="615" spans="1:27" s="4" customFormat="1" ht="42" customHeight="1">
      <c r="A615" s="5">
        <v>0</v>
      </c>
      <c r="B615" s="6" t="s">
        <v>3963</v>
      </c>
      <c r="C615" s="13">
        <v>1994.9</v>
      </c>
      <c r="D615" s="8" t="s">
        <v>3964</v>
      </c>
      <c r="E615" s="8" t="s">
        <v>3965</v>
      </c>
      <c r="F615" s="8" t="s">
        <v>3966</v>
      </c>
      <c r="G615" s="6" t="s">
        <v>37</v>
      </c>
      <c r="H615" s="6" t="s">
        <v>239</v>
      </c>
      <c r="I615" s="8"/>
      <c r="J615" s="9">
        <v>1</v>
      </c>
      <c r="K615" s="9">
        <v>608</v>
      </c>
      <c r="L615" s="9">
        <v>2020</v>
      </c>
      <c r="M615" s="8" t="s">
        <v>3967</v>
      </c>
      <c r="N615" s="8" t="s">
        <v>56</v>
      </c>
      <c r="O615" s="8" t="s">
        <v>57</v>
      </c>
      <c r="P615" s="6" t="s">
        <v>69</v>
      </c>
      <c r="Q615" s="8" t="s">
        <v>43</v>
      </c>
      <c r="R615" s="10"/>
      <c r="S615" s="11"/>
      <c r="T615" s="6"/>
      <c r="U615" s="27" t="str">
        <f>HYPERLINK("https://media.infra-m.ru/1044/1044536/cover/1044536.jpg", "Обложка")</f>
        <v>Обложка</v>
      </c>
      <c r="V615" s="12"/>
      <c r="W615" s="8" t="s">
        <v>1014</v>
      </c>
      <c r="X615" s="6"/>
      <c r="Y615" s="6"/>
      <c r="Z615" s="6"/>
      <c r="AA615" s="6" t="s">
        <v>73</v>
      </c>
    </row>
    <row r="616" spans="1:27" s="4" customFormat="1" ht="51.95" customHeight="1">
      <c r="A616" s="5">
        <v>0</v>
      </c>
      <c r="B616" s="6" t="s">
        <v>3968</v>
      </c>
      <c r="C616" s="13">
        <v>2140</v>
      </c>
      <c r="D616" s="8" t="s">
        <v>3969</v>
      </c>
      <c r="E616" s="8" t="s">
        <v>3970</v>
      </c>
      <c r="F616" s="8" t="s">
        <v>3971</v>
      </c>
      <c r="G616" s="6" t="s">
        <v>37</v>
      </c>
      <c r="H616" s="6" t="s">
        <v>53</v>
      </c>
      <c r="I616" s="8" t="s">
        <v>54</v>
      </c>
      <c r="J616" s="9">
        <v>1</v>
      </c>
      <c r="K616" s="9">
        <v>465</v>
      </c>
      <c r="L616" s="9">
        <v>2024</v>
      </c>
      <c r="M616" s="8" t="s">
        <v>3972</v>
      </c>
      <c r="N616" s="8" t="s">
        <v>56</v>
      </c>
      <c r="O616" s="8" t="s">
        <v>57</v>
      </c>
      <c r="P616" s="6" t="s">
        <v>69</v>
      </c>
      <c r="Q616" s="8" t="s">
        <v>43</v>
      </c>
      <c r="R616" s="10" t="s">
        <v>1245</v>
      </c>
      <c r="S616" s="11" t="s">
        <v>3973</v>
      </c>
      <c r="T616" s="6"/>
      <c r="U616" s="27" t="str">
        <f>HYPERLINK("https://media.infra-m.ru/1995/1995308/cover/1995308.jpg", "Обложка")</f>
        <v>Обложка</v>
      </c>
      <c r="V616" s="27" t="str">
        <f>HYPERLINK("https://znanium.com/catalog/product/1995308", "Ознакомиться")</f>
        <v>Ознакомиться</v>
      </c>
      <c r="W616" s="8" t="s">
        <v>1163</v>
      </c>
      <c r="X616" s="6"/>
      <c r="Y616" s="6"/>
      <c r="Z616" s="6"/>
      <c r="AA616" s="6" t="s">
        <v>226</v>
      </c>
    </row>
    <row r="617" spans="1:27" s="4" customFormat="1" ht="51.95" customHeight="1">
      <c r="A617" s="5">
        <v>0</v>
      </c>
      <c r="B617" s="6" t="s">
        <v>3974</v>
      </c>
      <c r="C617" s="7">
        <v>804</v>
      </c>
      <c r="D617" s="8" t="s">
        <v>3975</v>
      </c>
      <c r="E617" s="8" t="s">
        <v>3976</v>
      </c>
      <c r="F617" s="8" t="s">
        <v>3977</v>
      </c>
      <c r="G617" s="6" t="s">
        <v>52</v>
      </c>
      <c r="H617" s="6" t="s">
        <v>239</v>
      </c>
      <c r="I617" s="8"/>
      <c r="J617" s="9">
        <v>1</v>
      </c>
      <c r="K617" s="9">
        <v>176</v>
      </c>
      <c r="L617" s="9">
        <v>2024</v>
      </c>
      <c r="M617" s="8" t="s">
        <v>3978</v>
      </c>
      <c r="N617" s="8" t="s">
        <v>56</v>
      </c>
      <c r="O617" s="8" t="s">
        <v>57</v>
      </c>
      <c r="P617" s="6" t="s">
        <v>116</v>
      </c>
      <c r="Q617" s="8" t="s">
        <v>785</v>
      </c>
      <c r="R617" s="10" t="s">
        <v>3979</v>
      </c>
      <c r="S617" s="11"/>
      <c r="T617" s="6" t="s">
        <v>277</v>
      </c>
      <c r="U617" s="27" t="str">
        <f>HYPERLINK("https://media.infra-m.ru/2087/2087313/cover/2087313.jpg", "Обложка")</f>
        <v>Обложка</v>
      </c>
      <c r="V617" s="27" t="str">
        <f>HYPERLINK("https://znanium.com/catalog/product/1740738", "Ознакомиться")</f>
        <v>Ознакомиться</v>
      </c>
      <c r="W617" s="8" t="s">
        <v>72</v>
      </c>
      <c r="X617" s="6"/>
      <c r="Y617" s="6"/>
      <c r="Z617" s="6"/>
      <c r="AA617" s="6" t="s">
        <v>84</v>
      </c>
    </row>
    <row r="618" spans="1:27" s="4" customFormat="1" ht="51.95" customHeight="1">
      <c r="A618" s="5">
        <v>0</v>
      </c>
      <c r="B618" s="6" t="s">
        <v>3980</v>
      </c>
      <c r="C618" s="7">
        <v>940</v>
      </c>
      <c r="D618" s="8" t="s">
        <v>3981</v>
      </c>
      <c r="E618" s="8" t="s">
        <v>3982</v>
      </c>
      <c r="F618" s="8" t="s">
        <v>3983</v>
      </c>
      <c r="G618" s="6" t="s">
        <v>52</v>
      </c>
      <c r="H618" s="6" t="s">
        <v>98</v>
      </c>
      <c r="I618" s="8" t="s">
        <v>114</v>
      </c>
      <c r="J618" s="9">
        <v>1</v>
      </c>
      <c r="K618" s="9">
        <v>274</v>
      </c>
      <c r="L618" s="9">
        <v>2019</v>
      </c>
      <c r="M618" s="8" t="s">
        <v>3984</v>
      </c>
      <c r="N618" s="8" t="s">
        <v>56</v>
      </c>
      <c r="O618" s="8" t="s">
        <v>57</v>
      </c>
      <c r="P618" s="6" t="s">
        <v>116</v>
      </c>
      <c r="Q618" s="8" t="s">
        <v>81</v>
      </c>
      <c r="R618" s="10" t="s">
        <v>3985</v>
      </c>
      <c r="S618" s="11"/>
      <c r="T618" s="6" t="s">
        <v>277</v>
      </c>
      <c r="U618" s="27" t="str">
        <f>HYPERLINK("https://media.infra-m.ru/1010/1010120/cover/1010120.jpg", "Обложка")</f>
        <v>Обложка</v>
      </c>
      <c r="V618" s="27" t="str">
        <f>HYPERLINK("https://znanium.com/catalog/product/1010120", "Ознакомиться")</f>
        <v>Ознакомиться</v>
      </c>
      <c r="W618" s="8" t="s">
        <v>72</v>
      </c>
      <c r="X618" s="6"/>
      <c r="Y618" s="6"/>
      <c r="Z618" s="6"/>
      <c r="AA618" s="6" t="s">
        <v>288</v>
      </c>
    </row>
    <row r="619" spans="1:27" s="4" customFormat="1" ht="51.95" customHeight="1">
      <c r="A619" s="5">
        <v>0</v>
      </c>
      <c r="B619" s="6" t="s">
        <v>3986</v>
      </c>
      <c r="C619" s="7">
        <v>584.9</v>
      </c>
      <c r="D619" s="8" t="s">
        <v>3987</v>
      </c>
      <c r="E619" s="8" t="s">
        <v>3988</v>
      </c>
      <c r="F619" s="8" t="s">
        <v>3989</v>
      </c>
      <c r="G619" s="6" t="s">
        <v>37</v>
      </c>
      <c r="H619" s="6" t="s">
        <v>53</v>
      </c>
      <c r="I619" s="8" t="s">
        <v>148</v>
      </c>
      <c r="J619" s="9">
        <v>1</v>
      </c>
      <c r="K619" s="9">
        <v>167</v>
      </c>
      <c r="L619" s="9">
        <v>2020</v>
      </c>
      <c r="M619" s="8" t="s">
        <v>3990</v>
      </c>
      <c r="N619" s="8" t="s">
        <v>56</v>
      </c>
      <c r="O619" s="8" t="s">
        <v>57</v>
      </c>
      <c r="P619" s="6" t="s">
        <v>42</v>
      </c>
      <c r="Q619" s="8" t="s">
        <v>150</v>
      </c>
      <c r="R619" s="10" t="s">
        <v>3991</v>
      </c>
      <c r="S619" s="11" t="s">
        <v>3992</v>
      </c>
      <c r="T619" s="6"/>
      <c r="U619" s="27" t="str">
        <f>HYPERLINK("https://media.infra-m.ru/1150/1150845/cover/1150845.jpg", "Обложка")</f>
        <v>Обложка</v>
      </c>
      <c r="V619" s="27" t="str">
        <f>HYPERLINK("https://znanium.com/catalog/product/1891037", "Ознакомиться")</f>
        <v>Ознакомиться</v>
      </c>
      <c r="W619" s="8" t="s">
        <v>287</v>
      </c>
      <c r="X619" s="6"/>
      <c r="Y619" s="6"/>
      <c r="Z619" s="6"/>
      <c r="AA619" s="6" t="s">
        <v>73</v>
      </c>
    </row>
    <row r="620" spans="1:27" s="4" customFormat="1" ht="51.95" customHeight="1">
      <c r="A620" s="5">
        <v>0</v>
      </c>
      <c r="B620" s="6" t="s">
        <v>3993</v>
      </c>
      <c r="C620" s="13">
        <v>1050</v>
      </c>
      <c r="D620" s="8" t="s">
        <v>3994</v>
      </c>
      <c r="E620" s="8" t="s">
        <v>3995</v>
      </c>
      <c r="F620" s="8" t="s">
        <v>3996</v>
      </c>
      <c r="G620" s="6" t="s">
        <v>37</v>
      </c>
      <c r="H620" s="6" t="s">
        <v>53</v>
      </c>
      <c r="I620" s="8" t="s">
        <v>148</v>
      </c>
      <c r="J620" s="9">
        <v>1</v>
      </c>
      <c r="K620" s="9">
        <v>211</v>
      </c>
      <c r="L620" s="9">
        <v>2023</v>
      </c>
      <c r="M620" s="8" t="s">
        <v>3997</v>
      </c>
      <c r="N620" s="8" t="s">
        <v>56</v>
      </c>
      <c r="O620" s="8" t="s">
        <v>57</v>
      </c>
      <c r="P620" s="6" t="s">
        <v>42</v>
      </c>
      <c r="Q620" s="8" t="s">
        <v>150</v>
      </c>
      <c r="R620" s="10" t="s">
        <v>3991</v>
      </c>
      <c r="S620" s="11" t="s">
        <v>3992</v>
      </c>
      <c r="T620" s="6"/>
      <c r="U620" s="27" t="str">
        <f>HYPERLINK("https://media.infra-m.ru/1891/1891037/cover/1891037.jpg", "Обложка")</f>
        <v>Обложка</v>
      </c>
      <c r="V620" s="27" t="str">
        <f>HYPERLINK("https://znanium.com/catalog/product/1891037", "Ознакомиться")</f>
        <v>Ознакомиться</v>
      </c>
      <c r="W620" s="8" t="s">
        <v>287</v>
      </c>
      <c r="X620" s="6"/>
      <c r="Y620" s="6"/>
      <c r="Z620" s="6"/>
      <c r="AA620" s="6" t="s">
        <v>336</v>
      </c>
    </row>
    <row r="621" spans="1:27" s="4" customFormat="1" ht="51.95" customHeight="1">
      <c r="A621" s="5">
        <v>0</v>
      </c>
      <c r="B621" s="6" t="s">
        <v>3998</v>
      </c>
      <c r="C621" s="13">
        <v>1144.9000000000001</v>
      </c>
      <c r="D621" s="8" t="s">
        <v>3999</v>
      </c>
      <c r="E621" s="8" t="s">
        <v>4000</v>
      </c>
      <c r="F621" s="8" t="s">
        <v>4001</v>
      </c>
      <c r="G621" s="6" t="s">
        <v>52</v>
      </c>
      <c r="H621" s="6" t="s">
        <v>53</v>
      </c>
      <c r="I621" s="8" t="s">
        <v>114</v>
      </c>
      <c r="J621" s="9">
        <v>1</v>
      </c>
      <c r="K621" s="9">
        <v>255</v>
      </c>
      <c r="L621" s="9">
        <v>2023</v>
      </c>
      <c r="M621" s="8" t="s">
        <v>4002</v>
      </c>
      <c r="N621" s="8" t="s">
        <v>56</v>
      </c>
      <c r="O621" s="8" t="s">
        <v>57</v>
      </c>
      <c r="P621" s="6" t="s">
        <v>116</v>
      </c>
      <c r="Q621" s="8" t="s">
        <v>81</v>
      </c>
      <c r="R621" s="10" t="s">
        <v>4003</v>
      </c>
      <c r="S621" s="11"/>
      <c r="T621" s="6"/>
      <c r="U621" s="27" t="str">
        <f>HYPERLINK("https://media.infra-m.ru/2001/2001699/cover/2001699.jpg", "Обложка")</f>
        <v>Обложка</v>
      </c>
      <c r="V621" s="27" t="str">
        <f>HYPERLINK("https://znanium.com/catalog/product/769887", "Ознакомиться")</f>
        <v>Ознакомиться</v>
      </c>
      <c r="W621" s="8" t="s">
        <v>2366</v>
      </c>
      <c r="X621" s="6"/>
      <c r="Y621" s="6"/>
      <c r="Z621" s="6"/>
      <c r="AA621" s="6" t="s">
        <v>253</v>
      </c>
    </row>
    <row r="622" spans="1:27" s="4" customFormat="1" ht="42" customHeight="1">
      <c r="A622" s="5">
        <v>0</v>
      </c>
      <c r="B622" s="6" t="s">
        <v>4004</v>
      </c>
      <c r="C622" s="7">
        <v>860</v>
      </c>
      <c r="D622" s="8" t="s">
        <v>4005</v>
      </c>
      <c r="E622" s="8" t="s">
        <v>4006</v>
      </c>
      <c r="F622" s="8" t="s">
        <v>1691</v>
      </c>
      <c r="G622" s="6" t="s">
        <v>52</v>
      </c>
      <c r="H622" s="6" t="s">
        <v>53</v>
      </c>
      <c r="I622" s="8" t="s">
        <v>114</v>
      </c>
      <c r="J622" s="9">
        <v>1</v>
      </c>
      <c r="K622" s="9">
        <v>218</v>
      </c>
      <c r="L622" s="9">
        <v>2021</v>
      </c>
      <c r="M622" s="8" t="s">
        <v>4007</v>
      </c>
      <c r="N622" s="8" t="s">
        <v>56</v>
      </c>
      <c r="O622" s="8" t="s">
        <v>57</v>
      </c>
      <c r="P622" s="6" t="s">
        <v>116</v>
      </c>
      <c r="Q622" s="8" t="s">
        <v>81</v>
      </c>
      <c r="R622" s="10" t="s">
        <v>2282</v>
      </c>
      <c r="S622" s="11"/>
      <c r="T622" s="6" t="s">
        <v>277</v>
      </c>
      <c r="U622" s="27" t="str">
        <f>HYPERLINK("https://media.infra-m.ru/1064/1064905/cover/1064905.jpg", "Обложка")</f>
        <v>Обложка</v>
      </c>
      <c r="V622" s="27" t="str">
        <f>HYPERLINK("https://znanium.com/catalog/product/1064905", "Ознакомиться")</f>
        <v>Ознакомиться</v>
      </c>
      <c r="W622" s="8" t="s">
        <v>841</v>
      </c>
      <c r="X622" s="6"/>
      <c r="Y622" s="6"/>
      <c r="Z622" s="6"/>
      <c r="AA622" s="6" t="s">
        <v>143</v>
      </c>
    </row>
    <row r="623" spans="1:27" s="4" customFormat="1" ht="51.95" customHeight="1">
      <c r="A623" s="5">
        <v>0</v>
      </c>
      <c r="B623" s="6" t="s">
        <v>4008</v>
      </c>
      <c r="C623" s="13">
        <v>1254.9000000000001</v>
      </c>
      <c r="D623" s="8" t="s">
        <v>4009</v>
      </c>
      <c r="E623" s="8" t="s">
        <v>4010</v>
      </c>
      <c r="F623" s="8" t="s">
        <v>4011</v>
      </c>
      <c r="G623" s="6" t="s">
        <v>37</v>
      </c>
      <c r="H623" s="6" t="s">
        <v>53</v>
      </c>
      <c r="I623" s="8" t="s">
        <v>165</v>
      </c>
      <c r="J623" s="9">
        <v>1</v>
      </c>
      <c r="K623" s="9">
        <v>366</v>
      </c>
      <c r="L623" s="9">
        <v>2019</v>
      </c>
      <c r="M623" s="8" t="s">
        <v>4012</v>
      </c>
      <c r="N623" s="8" t="s">
        <v>56</v>
      </c>
      <c r="O623" s="8" t="s">
        <v>57</v>
      </c>
      <c r="P623" s="6" t="s">
        <v>69</v>
      </c>
      <c r="Q623" s="8" t="s">
        <v>43</v>
      </c>
      <c r="R623" s="10" t="s">
        <v>3573</v>
      </c>
      <c r="S623" s="11"/>
      <c r="T623" s="6"/>
      <c r="U623" s="27" t="str">
        <f>HYPERLINK("https://media.infra-m.ru/1003/1003451/cover/1003451.jpg", "Обложка")</f>
        <v>Обложка</v>
      </c>
      <c r="V623" s="27" t="str">
        <f>HYPERLINK("https://znanium.com/catalog/product/1241383", "Ознакомиться")</f>
        <v>Ознакомиться</v>
      </c>
      <c r="W623" s="8" t="s">
        <v>287</v>
      </c>
      <c r="X623" s="6"/>
      <c r="Y623" s="6"/>
      <c r="Z623" s="6"/>
      <c r="AA623" s="6" t="s">
        <v>1813</v>
      </c>
    </row>
    <row r="624" spans="1:27" s="4" customFormat="1" ht="51.95" customHeight="1">
      <c r="A624" s="5">
        <v>0</v>
      </c>
      <c r="B624" s="6" t="s">
        <v>4013</v>
      </c>
      <c r="C624" s="13">
        <v>1764</v>
      </c>
      <c r="D624" s="8" t="s">
        <v>4014</v>
      </c>
      <c r="E624" s="8" t="s">
        <v>4015</v>
      </c>
      <c r="F624" s="8" t="s">
        <v>458</v>
      </c>
      <c r="G624" s="6" t="s">
        <v>67</v>
      </c>
      <c r="H624" s="6" t="s">
        <v>53</v>
      </c>
      <c r="I624" s="8" t="s">
        <v>165</v>
      </c>
      <c r="J624" s="9">
        <v>1</v>
      </c>
      <c r="K624" s="9">
        <v>391</v>
      </c>
      <c r="L624" s="9">
        <v>2023</v>
      </c>
      <c r="M624" s="8" t="s">
        <v>4016</v>
      </c>
      <c r="N624" s="8" t="s">
        <v>56</v>
      </c>
      <c r="O624" s="8" t="s">
        <v>57</v>
      </c>
      <c r="P624" s="6" t="s">
        <v>69</v>
      </c>
      <c r="Q624" s="8" t="s">
        <v>43</v>
      </c>
      <c r="R624" s="10" t="s">
        <v>3573</v>
      </c>
      <c r="S624" s="11" t="s">
        <v>4017</v>
      </c>
      <c r="T624" s="6"/>
      <c r="U624" s="27" t="str">
        <f>HYPERLINK("https://media.infra-m.ru/1911/1911216/cover/1911216.jpg", "Обложка")</f>
        <v>Обложка</v>
      </c>
      <c r="V624" s="27" t="str">
        <f>HYPERLINK("https://znanium.com/catalog/product/1241383", "Ознакомиться")</f>
        <v>Ознакомиться</v>
      </c>
      <c r="W624" s="8" t="s">
        <v>287</v>
      </c>
      <c r="X624" s="6"/>
      <c r="Y624" s="6"/>
      <c r="Z624" s="6"/>
      <c r="AA624" s="6" t="s">
        <v>4018</v>
      </c>
    </row>
    <row r="625" spans="1:27" s="4" customFormat="1" ht="44.1" customHeight="1">
      <c r="A625" s="5">
        <v>0</v>
      </c>
      <c r="B625" s="6" t="s">
        <v>4019</v>
      </c>
      <c r="C625" s="7">
        <v>480</v>
      </c>
      <c r="D625" s="8" t="s">
        <v>4020</v>
      </c>
      <c r="E625" s="8" t="s">
        <v>4021</v>
      </c>
      <c r="F625" s="8" t="s">
        <v>3465</v>
      </c>
      <c r="G625" s="6" t="s">
        <v>52</v>
      </c>
      <c r="H625" s="6" t="s">
        <v>53</v>
      </c>
      <c r="I625" s="8" t="s">
        <v>114</v>
      </c>
      <c r="J625" s="9">
        <v>1</v>
      </c>
      <c r="K625" s="9">
        <v>140</v>
      </c>
      <c r="L625" s="9">
        <v>2020</v>
      </c>
      <c r="M625" s="8" t="s">
        <v>4022</v>
      </c>
      <c r="N625" s="8" t="s">
        <v>56</v>
      </c>
      <c r="O625" s="8" t="s">
        <v>57</v>
      </c>
      <c r="P625" s="6" t="s">
        <v>116</v>
      </c>
      <c r="Q625" s="8" t="s">
        <v>81</v>
      </c>
      <c r="R625" s="10" t="s">
        <v>285</v>
      </c>
      <c r="S625" s="11"/>
      <c r="T625" s="6"/>
      <c r="U625" s="27" t="str">
        <f>HYPERLINK("https://media.infra-m.ru/1007/1007996/cover/1007996.jpg", "Обложка")</f>
        <v>Обложка</v>
      </c>
      <c r="V625" s="27" t="str">
        <f>HYPERLINK("https://znanium.com/catalog/product/1007996", "Ознакомиться")</f>
        <v>Ознакомиться</v>
      </c>
      <c r="W625" s="8" t="s">
        <v>3467</v>
      </c>
      <c r="X625" s="6"/>
      <c r="Y625" s="6"/>
      <c r="Z625" s="6"/>
      <c r="AA625" s="6" t="s">
        <v>253</v>
      </c>
    </row>
    <row r="626" spans="1:27" s="4" customFormat="1" ht="51.95" customHeight="1">
      <c r="A626" s="5">
        <v>0</v>
      </c>
      <c r="B626" s="6" t="s">
        <v>4023</v>
      </c>
      <c r="C626" s="13">
        <v>1144.9000000000001</v>
      </c>
      <c r="D626" s="8" t="s">
        <v>4024</v>
      </c>
      <c r="E626" s="8" t="s">
        <v>4025</v>
      </c>
      <c r="F626" s="8" t="s">
        <v>2197</v>
      </c>
      <c r="G626" s="6" t="s">
        <v>37</v>
      </c>
      <c r="H626" s="6" t="s">
        <v>38</v>
      </c>
      <c r="I626" s="8"/>
      <c r="J626" s="9">
        <v>1</v>
      </c>
      <c r="K626" s="9">
        <v>254</v>
      </c>
      <c r="L626" s="9">
        <v>2023</v>
      </c>
      <c r="M626" s="8" t="s">
        <v>4026</v>
      </c>
      <c r="N626" s="8" t="s">
        <v>56</v>
      </c>
      <c r="O626" s="8" t="s">
        <v>57</v>
      </c>
      <c r="P626" s="6" t="s">
        <v>42</v>
      </c>
      <c r="Q626" s="8" t="s">
        <v>150</v>
      </c>
      <c r="R626" s="10" t="s">
        <v>4027</v>
      </c>
      <c r="S626" s="11"/>
      <c r="T626" s="6"/>
      <c r="U626" s="27" t="str">
        <f>HYPERLINK("https://media.infra-m.ru/2001/2001633/cover/2001633.jpg", "Обложка")</f>
        <v>Обложка</v>
      </c>
      <c r="V626" s="27" t="str">
        <f>HYPERLINK("https://znanium.com/catalog/product/1035792", "Ознакомиться")</f>
        <v>Ознакомиться</v>
      </c>
      <c r="W626" s="8" t="s">
        <v>2200</v>
      </c>
      <c r="X626" s="6"/>
      <c r="Y626" s="6"/>
      <c r="Z626" s="6"/>
      <c r="AA626" s="6" t="s">
        <v>1335</v>
      </c>
    </row>
    <row r="627" spans="1:27" s="4" customFormat="1" ht="51.95" customHeight="1">
      <c r="A627" s="5">
        <v>0</v>
      </c>
      <c r="B627" s="6" t="s">
        <v>4028</v>
      </c>
      <c r="C627" s="13">
        <v>2794.9</v>
      </c>
      <c r="D627" s="8" t="s">
        <v>4029</v>
      </c>
      <c r="E627" s="8" t="s">
        <v>4030</v>
      </c>
      <c r="F627" s="8" t="s">
        <v>4031</v>
      </c>
      <c r="G627" s="6" t="s">
        <v>37</v>
      </c>
      <c r="H627" s="6" t="s">
        <v>239</v>
      </c>
      <c r="I627" s="8" t="s">
        <v>386</v>
      </c>
      <c r="J627" s="9">
        <v>1</v>
      </c>
      <c r="K627" s="9">
        <v>624</v>
      </c>
      <c r="L627" s="9">
        <v>2023</v>
      </c>
      <c r="M627" s="8" t="s">
        <v>4032</v>
      </c>
      <c r="N627" s="8" t="s">
        <v>56</v>
      </c>
      <c r="O627" s="8" t="s">
        <v>57</v>
      </c>
      <c r="P627" s="6" t="s">
        <v>69</v>
      </c>
      <c r="Q627" s="8" t="s">
        <v>150</v>
      </c>
      <c r="R627" s="10" t="s">
        <v>3924</v>
      </c>
      <c r="S627" s="11" t="s">
        <v>4033</v>
      </c>
      <c r="T627" s="6"/>
      <c r="U627" s="27" t="str">
        <f>HYPERLINK("https://media.infra-m.ru/1912/1912997/cover/1912997.jpg", "Обложка")</f>
        <v>Обложка</v>
      </c>
      <c r="V627" s="27" t="str">
        <f>HYPERLINK("https://znanium.com/catalog/product/966552", "Ознакомиться")</f>
        <v>Ознакомиться</v>
      </c>
      <c r="W627" s="8" t="s">
        <v>46</v>
      </c>
      <c r="X627" s="6"/>
      <c r="Y627" s="6"/>
      <c r="Z627" s="6"/>
      <c r="AA627" s="6" t="s">
        <v>84</v>
      </c>
    </row>
    <row r="628" spans="1:27" s="4" customFormat="1" ht="51.95" customHeight="1">
      <c r="A628" s="5">
        <v>0</v>
      </c>
      <c r="B628" s="6" t="s">
        <v>4034</v>
      </c>
      <c r="C628" s="7">
        <v>994.9</v>
      </c>
      <c r="D628" s="8" t="s">
        <v>4035</v>
      </c>
      <c r="E628" s="8" t="s">
        <v>4036</v>
      </c>
      <c r="F628" s="8" t="s">
        <v>4037</v>
      </c>
      <c r="G628" s="6" t="s">
        <v>37</v>
      </c>
      <c r="H628" s="6" t="s">
        <v>53</v>
      </c>
      <c r="I628" s="8" t="s">
        <v>114</v>
      </c>
      <c r="J628" s="9">
        <v>1</v>
      </c>
      <c r="K628" s="9">
        <v>238</v>
      </c>
      <c r="L628" s="9">
        <v>2022</v>
      </c>
      <c r="M628" s="8" t="s">
        <v>4038</v>
      </c>
      <c r="N628" s="8" t="s">
        <v>56</v>
      </c>
      <c r="O628" s="8" t="s">
        <v>57</v>
      </c>
      <c r="P628" s="6" t="s">
        <v>116</v>
      </c>
      <c r="Q628" s="8" t="s">
        <v>81</v>
      </c>
      <c r="R628" s="10" t="s">
        <v>2709</v>
      </c>
      <c r="S628" s="11"/>
      <c r="T628" s="6"/>
      <c r="U628" s="27" t="str">
        <f>HYPERLINK("https://media.infra-m.ru/1877/1877144/cover/1877144.jpg", "Обложка")</f>
        <v>Обложка</v>
      </c>
      <c r="V628" s="27" t="str">
        <f>HYPERLINK("https://znanium.com/catalog/product/1047146", "Ознакомиться")</f>
        <v>Ознакомиться</v>
      </c>
      <c r="W628" s="8" t="s">
        <v>72</v>
      </c>
      <c r="X628" s="6"/>
      <c r="Y628" s="6"/>
      <c r="Z628" s="6"/>
      <c r="AA628" s="6" t="s">
        <v>288</v>
      </c>
    </row>
    <row r="629" spans="1:27" s="4" customFormat="1" ht="51.95" customHeight="1">
      <c r="A629" s="5">
        <v>0</v>
      </c>
      <c r="B629" s="6" t="s">
        <v>4039</v>
      </c>
      <c r="C629" s="13">
        <v>2380</v>
      </c>
      <c r="D629" s="8" t="s">
        <v>4040</v>
      </c>
      <c r="E629" s="8" t="s">
        <v>4041</v>
      </c>
      <c r="F629" s="8" t="s">
        <v>629</v>
      </c>
      <c r="G629" s="6" t="s">
        <v>37</v>
      </c>
      <c r="H629" s="6" t="s">
        <v>53</v>
      </c>
      <c r="I629" s="8" t="s">
        <v>148</v>
      </c>
      <c r="J629" s="9">
        <v>1</v>
      </c>
      <c r="K629" s="9">
        <v>529</v>
      </c>
      <c r="L629" s="9">
        <v>2023</v>
      </c>
      <c r="M629" s="8" t="s">
        <v>4042</v>
      </c>
      <c r="N629" s="8" t="s">
        <v>56</v>
      </c>
      <c r="O629" s="8" t="s">
        <v>57</v>
      </c>
      <c r="P629" s="6" t="s">
        <v>69</v>
      </c>
      <c r="Q629" s="8" t="s">
        <v>150</v>
      </c>
      <c r="R629" s="10" t="s">
        <v>4043</v>
      </c>
      <c r="S629" s="11" t="s">
        <v>4044</v>
      </c>
      <c r="T629" s="6"/>
      <c r="U629" s="27" t="str">
        <f>HYPERLINK("https://media.infra-m.ru/1904/1904577/cover/1904577.jpg", "Обложка")</f>
        <v>Обложка</v>
      </c>
      <c r="V629" s="27" t="str">
        <f>HYPERLINK("https://znanium.com/catalog/product/1904577", "Ознакомиться")</f>
        <v>Ознакомиться</v>
      </c>
      <c r="W629" s="8" t="s">
        <v>118</v>
      </c>
      <c r="X629" s="6"/>
      <c r="Y629" s="6"/>
      <c r="Z629" s="6"/>
      <c r="AA629" s="6" t="s">
        <v>510</v>
      </c>
    </row>
    <row r="630" spans="1:27" s="4" customFormat="1" ht="51.95" customHeight="1">
      <c r="A630" s="5">
        <v>0</v>
      </c>
      <c r="B630" s="6" t="s">
        <v>4045</v>
      </c>
      <c r="C630" s="13">
        <v>1200</v>
      </c>
      <c r="D630" s="8" t="s">
        <v>4046</v>
      </c>
      <c r="E630" s="8" t="s">
        <v>4047</v>
      </c>
      <c r="F630" s="8" t="s">
        <v>4048</v>
      </c>
      <c r="G630" s="6" t="s">
        <v>67</v>
      </c>
      <c r="H630" s="6" t="s">
        <v>53</v>
      </c>
      <c r="I630" s="8" t="s">
        <v>114</v>
      </c>
      <c r="J630" s="9">
        <v>1</v>
      </c>
      <c r="K630" s="9">
        <v>317</v>
      </c>
      <c r="L630" s="9">
        <v>2022</v>
      </c>
      <c r="M630" s="8" t="s">
        <v>4049</v>
      </c>
      <c r="N630" s="8" t="s">
        <v>56</v>
      </c>
      <c r="O630" s="8" t="s">
        <v>57</v>
      </c>
      <c r="P630" s="6" t="s">
        <v>116</v>
      </c>
      <c r="Q630" s="8" t="s">
        <v>81</v>
      </c>
      <c r="R630" s="10" t="s">
        <v>4050</v>
      </c>
      <c r="S630" s="11"/>
      <c r="T630" s="6"/>
      <c r="U630" s="27" t="str">
        <f>HYPERLINK("https://media.infra-m.ru/1844/1844426/cover/1844426.jpg", "Обложка")</f>
        <v>Обложка</v>
      </c>
      <c r="V630" s="27" t="str">
        <f>HYPERLINK("https://znanium.com/catalog/product/1844426", "Ознакомиться")</f>
        <v>Ознакомиться</v>
      </c>
      <c r="W630" s="8" t="s">
        <v>2834</v>
      </c>
      <c r="X630" s="6"/>
      <c r="Y630" s="6"/>
      <c r="Z630" s="6"/>
      <c r="AA630" s="6" t="s">
        <v>288</v>
      </c>
    </row>
    <row r="631" spans="1:27" s="4" customFormat="1" ht="44.1" customHeight="1">
      <c r="A631" s="5">
        <v>0</v>
      </c>
      <c r="B631" s="6" t="s">
        <v>4051</v>
      </c>
      <c r="C631" s="7">
        <v>814.9</v>
      </c>
      <c r="D631" s="8" t="s">
        <v>4052</v>
      </c>
      <c r="E631" s="8" t="s">
        <v>4053</v>
      </c>
      <c r="F631" s="8" t="s">
        <v>4054</v>
      </c>
      <c r="G631" s="6" t="s">
        <v>52</v>
      </c>
      <c r="H631" s="6" t="s">
        <v>53</v>
      </c>
      <c r="I631" s="8" t="s">
        <v>114</v>
      </c>
      <c r="J631" s="9">
        <v>1</v>
      </c>
      <c r="K631" s="9">
        <v>208</v>
      </c>
      <c r="L631" s="9">
        <v>2022</v>
      </c>
      <c r="M631" s="8" t="s">
        <v>4055</v>
      </c>
      <c r="N631" s="8" t="s">
        <v>56</v>
      </c>
      <c r="O631" s="8" t="s">
        <v>57</v>
      </c>
      <c r="P631" s="6" t="s">
        <v>116</v>
      </c>
      <c r="Q631" s="8" t="s">
        <v>81</v>
      </c>
      <c r="R631" s="10" t="s">
        <v>4056</v>
      </c>
      <c r="S631" s="11"/>
      <c r="T631" s="6"/>
      <c r="U631" s="27" t="str">
        <f>HYPERLINK("https://media.infra-m.ru/1853/1853826/cover/1853826.jpg", "Обложка")</f>
        <v>Обложка</v>
      </c>
      <c r="V631" s="27" t="str">
        <f>HYPERLINK("https://znanium.com/catalog/product/1843231", "Ознакомиться")</f>
        <v>Ознакомиться</v>
      </c>
      <c r="W631" s="8" t="s">
        <v>72</v>
      </c>
      <c r="X631" s="6"/>
      <c r="Y631" s="6"/>
      <c r="Z631" s="6"/>
      <c r="AA631" s="6" t="s">
        <v>47</v>
      </c>
    </row>
    <row r="632" spans="1:27" s="4" customFormat="1" ht="51.95" customHeight="1">
      <c r="A632" s="5">
        <v>0</v>
      </c>
      <c r="B632" s="6" t="s">
        <v>4057</v>
      </c>
      <c r="C632" s="13">
        <v>1484.9</v>
      </c>
      <c r="D632" s="8" t="s">
        <v>4058</v>
      </c>
      <c r="E632" s="8" t="s">
        <v>4059</v>
      </c>
      <c r="F632" s="8" t="s">
        <v>4060</v>
      </c>
      <c r="G632" s="6" t="s">
        <v>52</v>
      </c>
      <c r="H632" s="6" t="s">
        <v>53</v>
      </c>
      <c r="I632" s="8" t="s">
        <v>114</v>
      </c>
      <c r="J632" s="9">
        <v>1</v>
      </c>
      <c r="K632" s="9">
        <v>329</v>
      </c>
      <c r="L632" s="9">
        <v>2023</v>
      </c>
      <c r="M632" s="8" t="s">
        <v>4061</v>
      </c>
      <c r="N632" s="8" t="s">
        <v>56</v>
      </c>
      <c r="O632" s="8" t="s">
        <v>57</v>
      </c>
      <c r="P632" s="6" t="s">
        <v>116</v>
      </c>
      <c r="Q632" s="8" t="s">
        <v>81</v>
      </c>
      <c r="R632" s="10" t="s">
        <v>184</v>
      </c>
      <c r="S632" s="11"/>
      <c r="T632" s="6"/>
      <c r="U632" s="27" t="str">
        <f>HYPERLINK("https://media.infra-m.ru/1981/1981655/cover/1981655.jpg", "Обложка")</f>
        <v>Обложка</v>
      </c>
      <c r="V632" s="27" t="str">
        <f>HYPERLINK("https://znanium.com/catalog/product/960055", "Ознакомиться")</f>
        <v>Ознакомиться</v>
      </c>
      <c r="W632" s="8" t="s">
        <v>287</v>
      </c>
      <c r="X632" s="6"/>
      <c r="Y632" s="6"/>
      <c r="Z632" s="6"/>
      <c r="AA632" s="6" t="s">
        <v>47</v>
      </c>
    </row>
    <row r="633" spans="1:27" s="4" customFormat="1" ht="51.95" customHeight="1">
      <c r="A633" s="5">
        <v>0</v>
      </c>
      <c r="B633" s="6" t="s">
        <v>4062</v>
      </c>
      <c r="C633" s="13">
        <v>1400</v>
      </c>
      <c r="D633" s="8" t="s">
        <v>4063</v>
      </c>
      <c r="E633" s="8" t="s">
        <v>4064</v>
      </c>
      <c r="F633" s="8" t="s">
        <v>4065</v>
      </c>
      <c r="G633" s="6" t="s">
        <v>67</v>
      </c>
      <c r="H633" s="6" t="s">
        <v>53</v>
      </c>
      <c r="I633" s="8" t="s">
        <v>114</v>
      </c>
      <c r="J633" s="9">
        <v>1</v>
      </c>
      <c r="K633" s="9">
        <v>360</v>
      </c>
      <c r="L633" s="9">
        <v>2022</v>
      </c>
      <c r="M633" s="8" t="s">
        <v>4066</v>
      </c>
      <c r="N633" s="8" t="s">
        <v>56</v>
      </c>
      <c r="O633" s="8" t="s">
        <v>57</v>
      </c>
      <c r="P633" s="6" t="s">
        <v>116</v>
      </c>
      <c r="Q633" s="8" t="s">
        <v>81</v>
      </c>
      <c r="R633" s="10" t="s">
        <v>4067</v>
      </c>
      <c r="S633" s="11"/>
      <c r="T633" s="6"/>
      <c r="U633" s="27" t="str">
        <f>HYPERLINK("https://media.infra-m.ru/1870/1870637/cover/1870637.jpg", "Обложка")</f>
        <v>Обложка</v>
      </c>
      <c r="V633" s="27" t="str">
        <f>HYPERLINK("https://znanium.com/catalog/product/1870637", "Ознакомиться")</f>
        <v>Ознакомиться</v>
      </c>
      <c r="W633" s="8" t="s">
        <v>72</v>
      </c>
      <c r="X633" s="6"/>
      <c r="Y633" s="6"/>
      <c r="Z633" s="6"/>
      <c r="AA633" s="6" t="s">
        <v>253</v>
      </c>
    </row>
    <row r="634" spans="1:27" s="4" customFormat="1" ht="51.95" customHeight="1">
      <c r="A634" s="5">
        <v>0</v>
      </c>
      <c r="B634" s="6" t="s">
        <v>4068</v>
      </c>
      <c r="C634" s="13">
        <v>1344</v>
      </c>
      <c r="D634" s="8" t="s">
        <v>4069</v>
      </c>
      <c r="E634" s="8" t="s">
        <v>4070</v>
      </c>
      <c r="F634" s="8" t="s">
        <v>4071</v>
      </c>
      <c r="G634" s="6" t="s">
        <v>37</v>
      </c>
      <c r="H634" s="6" t="s">
        <v>53</v>
      </c>
      <c r="I634" s="8" t="s">
        <v>148</v>
      </c>
      <c r="J634" s="9">
        <v>1</v>
      </c>
      <c r="K634" s="9">
        <v>288</v>
      </c>
      <c r="L634" s="9">
        <v>2023</v>
      </c>
      <c r="M634" s="8" t="s">
        <v>4072</v>
      </c>
      <c r="N634" s="8" t="s">
        <v>56</v>
      </c>
      <c r="O634" s="8" t="s">
        <v>57</v>
      </c>
      <c r="P634" s="6" t="s">
        <v>42</v>
      </c>
      <c r="Q634" s="8" t="s">
        <v>150</v>
      </c>
      <c r="R634" s="10" t="s">
        <v>530</v>
      </c>
      <c r="S634" s="11" t="s">
        <v>4073</v>
      </c>
      <c r="T634" s="6"/>
      <c r="U634" s="27" t="str">
        <f>HYPERLINK("https://media.infra-m.ru/2059/2059557/cover/2059557.jpg", "Обложка")</f>
        <v>Обложка</v>
      </c>
      <c r="V634" s="27" t="str">
        <f>HYPERLINK("https://znanium.com/catalog/product/1039049", "Ознакомиться")</f>
        <v>Ознакомиться</v>
      </c>
      <c r="W634" s="8" t="s">
        <v>4074</v>
      </c>
      <c r="X634" s="6"/>
      <c r="Y634" s="6"/>
      <c r="Z634" s="6"/>
      <c r="AA634" s="6" t="s">
        <v>47</v>
      </c>
    </row>
    <row r="635" spans="1:27" s="4" customFormat="1" ht="44.1" customHeight="1">
      <c r="A635" s="5">
        <v>0</v>
      </c>
      <c r="B635" s="6" t="s">
        <v>4075</v>
      </c>
      <c r="C635" s="13">
        <v>1224.9000000000001</v>
      </c>
      <c r="D635" s="8" t="s">
        <v>4076</v>
      </c>
      <c r="E635" s="8" t="s">
        <v>4077</v>
      </c>
      <c r="F635" s="8" t="s">
        <v>4078</v>
      </c>
      <c r="G635" s="6" t="s">
        <v>52</v>
      </c>
      <c r="H635" s="6" t="s">
        <v>98</v>
      </c>
      <c r="I635" s="8" t="s">
        <v>478</v>
      </c>
      <c r="J635" s="9">
        <v>20</v>
      </c>
      <c r="K635" s="9">
        <v>396</v>
      </c>
      <c r="L635" s="9">
        <v>2017</v>
      </c>
      <c r="M635" s="8" t="s">
        <v>4079</v>
      </c>
      <c r="N635" s="8" t="s">
        <v>56</v>
      </c>
      <c r="O635" s="8" t="s">
        <v>57</v>
      </c>
      <c r="P635" s="6" t="s">
        <v>116</v>
      </c>
      <c r="Q635" s="8" t="s">
        <v>81</v>
      </c>
      <c r="R635" s="10" t="s">
        <v>4080</v>
      </c>
      <c r="S635" s="11"/>
      <c r="T635" s="6"/>
      <c r="U635" s="27" t="str">
        <f>HYPERLINK("https://media.infra-m.ru/0620/0620870/cover/620870.jpg", "Обложка")</f>
        <v>Обложка</v>
      </c>
      <c r="V635" s="27" t="str">
        <f>HYPERLINK("https://znanium.com/catalog/product/354271", "Ознакомиться")</f>
        <v>Ознакомиться</v>
      </c>
      <c r="W635" s="8" t="s">
        <v>287</v>
      </c>
      <c r="X635" s="6"/>
      <c r="Y635" s="6"/>
      <c r="Z635" s="6"/>
      <c r="AA635" s="6" t="s">
        <v>308</v>
      </c>
    </row>
    <row r="636" spans="1:27" s="4" customFormat="1" ht="51.95" customHeight="1">
      <c r="A636" s="5">
        <v>0</v>
      </c>
      <c r="B636" s="6" t="s">
        <v>4081</v>
      </c>
      <c r="C636" s="7">
        <v>614.9</v>
      </c>
      <c r="D636" s="8" t="s">
        <v>4082</v>
      </c>
      <c r="E636" s="8" t="s">
        <v>4083</v>
      </c>
      <c r="F636" s="8" t="s">
        <v>4084</v>
      </c>
      <c r="G636" s="6" t="s">
        <v>37</v>
      </c>
      <c r="H636" s="6" t="s">
        <v>53</v>
      </c>
      <c r="I636" s="8" t="s">
        <v>165</v>
      </c>
      <c r="J636" s="9">
        <v>1</v>
      </c>
      <c r="K636" s="9">
        <v>192</v>
      </c>
      <c r="L636" s="9">
        <v>2019</v>
      </c>
      <c r="M636" s="8" t="s">
        <v>4085</v>
      </c>
      <c r="N636" s="8" t="s">
        <v>56</v>
      </c>
      <c r="O636" s="8" t="s">
        <v>57</v>
      </c>
      <c r="P636" s="6" t="s">
        <v>42</v>
      </c>
      <c r="Q636" s="8" t="s">
        <v>43</v>
      </c>
      <c r="R636" s="10" t="s">
        <v>4086</v>
      </c>
      <c r="S636" s="11" t="s">
        <v>4087</v>
      </c>
      <c r="T636" s="6" t="s">
        <v>277</v>
      </c>
      <c r="U636" s="27" t="str">
        <f>HYPERLINK("https://media.infra-m.ru/1012/1012423/cover/1012423.jpg", "Обложка")</f>
        <v>Обложка</v>
      </c>
      <c r="V636" s="27" t="str">
        <f>HYPERLINK("https://znanium.com/catalog/product/1497870", "Ознакомиться")</f>
        <v>Ознакомиться</v>
      </c>
      <c r="W636" s="8" t="s">
        <v>4088</v>
      </c>
      <c r="X636" s="6"/>
      <c r="Y636" s="6"/>
      <c r="Z636" s="6"/>
      <c r="AA636" s="6" t="s">
        <v>47</v>
      </c>
    </row>
    <row r="637" spans="1:27" s="4" customFormat="1" ht="51.95" customHeight="1">
      <c r="A637" s="5">
        <v>0</v>
      </c>
      <c r="B637" s="6" t="s">
        <v>4089</v>
      </c>
      <c r="C637" s="13">
        <v>1224.9000000000001</v>
      </c>
      <c r="D637" s="8" t="s">
        <v>4090</v>
      </c>
      <c r="E637" s="8" t="s">
        <v>4091</v>
      </c>
      <c r="F637" s="8" t="s">
        <v>4092</v>
      </c>
      <c r="G637" s="6" t="s">
        <v>37</v>
      </c>
      <c r="H637" s="6" t="s">
        <v>53</v>
      </c>
      <c r="I637" s="8" t="s">
        <v>165</v>
      </c>
      <c r="J637" s="9">
        <v>1</v>
      </c>
      <c r="K637" s="9">
        <v>272</v>
      </c>
      <c r="L637" s="9">
        <v>2023</v>
      </c>
      <c r="M637" s="8" t="s">
        <v>4093</v>
      </c>
      <c r="N637" s="8" t="s">
        <v>56</v>
      </c>
      <c r="O637" s="8" t="s">
        <v>57</v>
      </c>
      <c r="P637" s="6" t="s">
        <v>42</v>
      </c>
      <c r="Q637" s="8" t="s">
        <v>43</v>
      </c>
      <c r="R637" s="10" t="s">
        <v>4094</v>
      </c>
      <c r="S637" s="11" t="s">
        <v>4095</v>
      </c>
      <c r="T637" s="6"/>
      <c r="U637" s="27" t="str">
        <f>HYPERLINK("https://media.infra-m.ru/1872/1872733/cover/1872733.jpg", "Обложка")</f>
        <v>Обложка</v>
      </c>
      <c r="V637" s="27" t="str">
        <f>HYPERLINK("https://znanium.com/catalog/product/960022", "Ознакомиться")</f>
        <v>Ознакомиться</v>
      </c>
      <c r="W637" s="8" t="s">
        <v>4096</v>
      </c>
      <c r="X637" s="6"/>
      <c r="Y637" s="6"/>
      <c r="Z637" s="6"/>
      <c r="AA637" s="6" t="s">
        <v>47</v>
      </c>
    </row>
    <row r="638" spans="1:27" s="4" customFormat="1" ht="51.95" customHeight="1">
      <c r="A638" s="5">
        <v>0</v>
      </c>
      <c r="B638" s="6" t="s">
        <v>4097</v>
      </c>
      <c r="C638" s="13">
        <v>1724.9</v>
      </c>
      <c r="D638" s="8" t="s">
        <v>4098</v>
      </c>
      <c r="E638" s="8" t="s">
        <v>4099</v>
      </c>
      <c r="F638" s="8" t="s">
        <v>2665</v>
      </c>
      <c r="G638" s="6" t="s">
        <v>37</v>
      </c>
      <c r="H638" s="6" t="s">
        <v>239</v>
      </c>
      <c r="I638" s="8" t="s">
        <v>377</v>
      </c>
      <c r="J638" s="9">
        <v>1</v>
      </c>
      <c r="K638" s="9">
        <v>384</v>
      </c>
      <c r="L638" s="9">
        <v>2023</v>
      </c>
      <c r="M638" s="8" t="s">
        <v>4100</v>
      </c>
      <c r="N638" s="8" t="s">
        <v>56</v>
      </c>
      <c r="O638" s="8" t="s">
        <v>57</v>
      </c>
      <c r="P638" s="6" t="s">
        <v>69</v>
      </c>
      <c r="Q638" s="8" t="s">
        <v>43</v>
      </c>
      <c r="R638" s="10" t="s">
        <v>2597</v>
      </c>
      <c r="S638" s="11" t="s">
        <v>4101</v>
      </c>
      <c r="T638" s="6"/>
      <c r="U638" s="27" t="str">
        <f>HYPERLINK("https://media.infra-m.ru/1903/1903243/cover/1903243.jpg", "Обложка")</f>
        <v>Обложка</v>
      </c>
      <c r="V638" s="27" t="str">
        <f>HYPERLINK("https://znanium.com/catalog/product/1844277", "Ознакомиться")</f>
        <v>Ознакомиться</v>
      </c>
      <c r="W638" s="8" t="s">
        <v>2668</v>
      </c>
      <c r="X638" s="6"/>
      <c r="Y638" s="6"/>
      <c r="Z638" s="6"/>
      <c r="AA638" s="6" t="s">
        <v>208</v>
      </c>
    </row>
    <row r="639" spans="1:27" s="4" customFormat="1" ht="51.95" customHeight="1">
      <c r="A639" s="5">
        <v>0</v>
      </c>
      <c r="B639" s="6" t="s">
        <v>4102</v>
      </c>
      <c r="C639" s="13">
        <v>1474</v>
      </c>
      <c r="D639" s="8" t="s">
        <v>4103</v>
      </c>
      <c r="E639" s="8" t="s">
        <v>4104</v>
      </c>
      <c r="F639" s="8" t="s">
        <v>2012</v>
      </c>
      <c r="G639" s="6" t="s">
        <v>37</v>
      </c>
      <c r="H639" s="6" t="s">
        <v>53</v>
      </c>
      <c r="I639" s="8" t="s">
        <v>165</v>
      </c>
      <c r="J639" s="9">
        <v>1</v>
      </c>
      <c r="K639" s="9">
        <v>320</v>
      </c>
      <c r="L639" s="9">
        <v>2024</v>
      </c>
      <c r="M639" s="8" t="s">
        <v>4105</v>
      </c>
      <c r="N639" s="8" t="s">
        <v>56</v>
      </c>
      <c r="O639" s="8" t="s">
        <v>57</v>
      </c>
      <c r="P639" s="6" t="s">
        <v>42</v>
      </c>
      <c r="Q639" s="8" t="s">
        <v>43</v>
      </c>
      <c r="R639" s="10" t="s">
        <v>132</v>
      </c>
      <c r="S639" s="11" t="s">
        <v>4106</v>
      </c>
      <c r="T639" s="6"/>
      <c r="U639" s="27" t="str">
        <f>HYPERLINK("https://media.infra-m.ru/2084/2084445/cover/2084445.jpg", "Обложка")</f>
        <v>Обложка</v>
      </c>
      <c r="V639" s="27" t="str">
        <f>HYPERLINK("https://znanium.com/catalog/product/966752", "Ознакомиться")</f>
        <v>Ознакомиться</v>
      </c>
      <c r="W639" s="8" t="s">
        <v>72</v>
      </c>
      <c r="X639" s="6"/>
      <c r="Y639" s="6"/>
      <c r="Z639" s="6"/>
      <c r="AA639" s="6" t="s">
        <v>47</v>
      </c>
    </row>
    <row r="640" spans="1:27" s="4" customFormat="1" ht="51.95" customHeight="1">
      <c r="A640" s="5">
        <v>0</v>
      </c>
      <c r="B640" s="6" t="s">
        <v>4107</v>
      </c>
      <c r="C640" s="13">
        <v>1224.9000000000001</v>
      </c>
      <c r="D640" s="8" t="s">
        <v>4108</v>
      </c>
      <c r="E640" s="8" t="s">
        <v>4109</v>
      </c>
      <c r="F640" s="8" t="s">
        <v>4110</v>
      </c>
      <c r="G640" s="6" t="s">
        <v>37</v>
      </c>
      <c r="H640" s="6" t="s">
        <v>104</v>
      </c>
      <c r="I640" s="8" t="s">
        <v>377</v>
      </c>
      <c r="J640" s="9">
        <v>1</v>
      </c>
      <c r="K640" s="9">
        <v>272</v>
      </c>
      <c r="L640" s="9">
        <v>2023</v>
      </c>
      <c r="M640" s="8" t="s">
        <v>4111</v>
      </c>
      <c r="N640" s="8" t="s">
        <v>56</v>
      </c>
      <c r="O640" s="8" t="s">
        <v>57</v>
      </c>
      <c r="P640" s="6" t="s">
        <v>69</v>
      </c>
      <c r="Q640" s="8" t="s">
        <v>43</v>
      </c>
      <c r="R640" s="10" t="s">
        <v>2597</v>
      </c>
      <c r="S640" s="11" t="s">
        <v>4112</v>
      </c>
      <c r="T640" s="6"/>
      <c r="U640" s="27" t="str">
        <f>HYPERLINK("https://media.infra-m.ru/1911/1911156/cover/1911156.jpg", "Обложка")</f>
        <v>Обложка</v>
      </c>
      <c r="V640" s="27" t="str">
        <f>HYPERLINK("https://znanium.com/catalog/product/935426", "Ознакомиться")</f>
        <v>Ознакомиться</v>
      </c>
      <c r="W640" s="8" t="s">
        <v>948</v>
      </c>
      <c r="X640" s="6"/>
      <c r="Y640" s="6"/>
      <c r="Z640" s="6"/>
      <c r="AA640" s="6" t="s">
        <v>208</v>
      </c>
    </row>
    <row r="641" spans="1:27" s="4" customFormat="1" ht="51.95" customHeight="1">
      <c r="A641" s="5">
        <v>0</v>
      </c>
      <c r="B641" s="6" t="s">
        <v>4113</v>
      </c>
      <c r="C641" s="7">
        <v>954</v>
      </c>
      <c r="D641" s="8" t="s">
        <v>4114</v>
      </c>
      <c r="E641" s="8" t="s">
        <v>4109</v>
      </c>
      <c r="F641" s="8" t="s">
        <v>4115</v>
      </c>
      <c r="G641" s="6" t="s">
        <v>37</v>
      </c>
      <c r="H641" s="6" t="s">
        <v>53</v>
      </c>
      <c r="I641" s="8" t="s">
        <v>165</v>
      </c>
      <c r="J641" s="9">
        <v>1</v>
      </c>
      <c r="K641" s="9">
        <v>207</v>
      </c>
      <c r="L641" s="9">
        <v>2024</v>
      </c>
      <c r="M641" s="8" t="s">
        <v>4116</v>
      </c>
      <c r="N641" s="8" t="s">
        <v>56</v>
      </c>
      <c r="O641" s="8" t="s">
        <v>57</v>
      </c>
      <c r="P641" s="6" t="s">
        <v>69</v>
      </c>
      <c r="Q641" s="8" t="s">
        <v>43</v>
      </c>
      <c r="R641" s="10" t="s">
        <v>4117</v>
      </c>
      <c r="S641" s="11" t="s">
        <v>4118</v>
      </c>
      <c r="T641" s="6"/>
      <c r="U641" s="27" t="str">
        <f>HYPERLINK("https://media.infra-m.ru/2085/2085055/cover/2085055.jpg", "Обложка")</f>
        <v>Обложка</v>
      </c>
      <c r="V641" s="27" t="str">
        <f>HYPERLINK("https://znanium.com/catalog/product/1009021", "Ознакомиться")</f>
        <v>Ознакомиться</v>
      </c>
      <c r="W641" s="8" t="s">
        <v>72</v>
      </c>
      <c r="X641" s="6"/>
      <c r="Y641" s="6"/>
      <c r="Z641" s="6"/>
      <c r="AA641" s="6" t="s">
        <v>47</v>
      </c>
    </row>
    <row r="642" spans="1:27" s="4" customFormat="1" ht="51.95" customHeight="1">
      <c r="A642" s="5">
        <v>0</v>
      </c>
      <c r="B642" s="6" t="s">
        <v>4119</v>
      </c>
      <c r="C642" s="13">
        <v>1204</v>
      </c>
      <c r="D642" s="8" t="s">
        <v>4120</v>
      </c>
      <c r="E642" s="8" t="s">
        <v>4109</v>
      </c>
      <c r="F642" s="8" t="s">
        <v>4121</v>
      </c>
      <c r="G642" s="6" t="s">
        <v>37</v>
      </c>
      <c r="H642" s="6" t="s">
        <v>53</v>
      </c>
      <c r="I642" s="8" t="s">
        <v>165</v>
      </c>
      <c r="J642" s="9">
        <v>1</v>
      </c>
      <c r="K642" s="9">
        <v>263</v>
      </c>
      <c r="L642" s="9">
        <v>2024</v>
      </c>
      <c r="M642" s="8" t="s">
        <v>4122</v>
      </c>
      <c r="N642" s="8" t="s">
        <v>56</v>
      </c>
      <c r="O642" s="8" t="s">
        <v>57</v>
      </c>
      <c r="P642" s="6" t="s">
        <v>69</v>
      </c>
      <c r="Q642" s="8" t="s">
        <v>43</v>
      </c>
      <c r="R642" s="10" t="s">
        <v>4123</v>
      </c>
      <c r="S642" s="11" t="s">
        <v>4124</v>
      </c>
      <c r="T642" s="6"/>
      <c r="U642" s="27" t="str">
        <f>HYPERLINK("https://media.infra-m.ru/2091/2091934/cover/2091934.jpg", "Обложка")</f>
        <v>Обложка</v>
      </c>
      <c r="V642" s="27" t="str">
        <f>HYPERLINK("https://znanium.com/catalog/product/959957", "Ознакомиться")</f>
        <v>Ознакомиться</v>
      </c>
      <c r="W642" s="8" t="s">
        <v>72</v>
      </c>
      <c r="X642" s="6"/>
      <c r="Y642" s="6"/>
      <c r="Z642" s="6"/>
      <c r="AA642" s="6" t="s">
        <v>208</v>
      </c>
    </row>
    <row r="643" spans="1:27" s="4" customFormat="1" ht="51.95" customHeight="1">
      <c r="A643" s="5">
        <v>0</v>
      </c>
      <c r="B643" s="6" t="s">
        <v>4125</v>
      </c>
      <c r="C643" s="13">
        <v>1584.9</v>
      </c>
      <c r="D643" s="8" t="s">
        <v>4126</v>
      </c>
      <c r="E643" s="8" t="s">
        <v>4109</v>
      </c>
      <c r="F643" s="8" t="s">
        <v>2980</v>
      </c>
      <c r="G643" s="6" t="s">
        <v>37</v>
      </c>
      <c r="H643" s="6" t="s">
        <v>38</v>
      </c>
      <c r="I643" s="8"/>
      <c r="J643" s="9">
        <v>1</v>
      </c>
      <c r="K643" s="9">
        <v>352</v>
      </c>
      <c r="L643" s="9">
        <v>2023</v>
      </c>
      <c r="M643" s="8" t="s">
        <v>4127</v>
      </c>
      <c r="N643" s="8" t="s">
        <v>56</v>
      </c>
      <c r="O643" s="8" t="s">
        <v>57</v>
      </c>
      <c r="P643" s="6" t="s">
        <v>42</v>
      </c>
      <c r="Q643" s="8" t="s">
        <v>43</v>
      </c>
      <c r="R643" s="10" t="s">
        <v>1087</v>
      </c>
      <c r="S643" s="11" t="s">
        <v>3844</v>
      </c>
      <c r="T643" s="6"/>
      <c r="U643" s="27" t="str">
        <f>HYPERLINK("https://media.infra-m.ru/1899/1899835/cover/1899835.jpg", "Обложка")</f>
        <v>Обложка</v>
      </c>
      <c r="V643" s="27" t="str">
        <f>HYPERLINK("https://znanium.com/catalog/product/931131", "Ознакомиться")</f>
        <v>Ознакомиться</v>
      </c>
      <c r="W643" s="8" t="s">
        <v>2200</v>
      </c>
      <c r="X643" s="6"/>
      <c r="Y643" s="6"/>
      <c r="Z643" s="6"/>
      <c r="AA643" s="6" t="s">
        <v>47</v>
      </c>
    </row>
    <row r="644" spans="1:27" s="4" customFormat="1" ht="44.1" customHeight="1">
      <c r="A644" s="5">
        <v>0</v>
      </c>
      <c r="B644" s="6" t="s">
        <v>4128</v>
      </c>
      <c r="C644" s="13">
        <v>1444.9</v>
      </c>
      <c r="D644" s="8" t="s">
        <v>4129</v>
      </c>
      <c r="E644" s="8" t="s">
        <v>4109</v>
      </c>
      <c r="F644" s="8" t="s">
        <v>4130</v>
      </c>
      <c r="G644" s="6" t="s">
        <v>37</v>
      </c>
      <c r="H644" s="6" t="s">
        <v>53</v>
      </c>
      <c r="I644" s="8"/>
      <c r="J644" s="9">
        <v>1</v>
      </c>
      <c r="K644" s="9">
        <v>357</v>
      </c>
      <c r="L644" s="9">
        <v>2023</v>
      </c>
      <c r="M644" s="8" t="s">
        <v>4131</v>
      </c>
      <c r="N644" s="8" t="s">
        <v>56</v>
      </c>
      <c r="O644" s="8" t="s">
        <v>57</v>
      </c>
      <c r="P644" s="6" t="s">
        <v>42</v>
      </c>
      <c r="Q644" s="8" t="s">
        <v>43</v>
      </c>
      <c r="R644" s="10" t="s">
        <v>4117</v>
      </c>
      <c r="S644" s="11"/>
      <c r="T644" s="6"/>
      <c r="U644" s="27" t="str">
        <f>HYPERLINK("https://media.infra-m.ru/1911/1911169/cover/1911169.jpg", "Обложка")</f>
        <v>Обложка</v>
      </c>
      <c r="V644" s="27" t="str">
        <f>HYPERLINK("https://znanium.com/catalog/product/1210718", "Ознакомиться")</f>
        <v>Ознакомиться</v>
      </c>
      <c r="W644" s="8" t="s">
        <v>1089</v>
      </c>
      <c r="X644" s="6"/>
      <c r="Y644" s="6"/>
      <c r="Z644" s="6"/>
      <c r="AA644" s="6" t="s">
        <v>47</v>
      </c>
    </row>
    <row r="645" spans="1:27" s="4" customFormat="1" ht="51.95" customHeight="1">
      <c r="A645" s="5">
        <v>0</v>
      </c>
      <c r="B645" s="6" t="s">
        <v>4132</v>
      </c>
      <c r="C645" s="13">
        <v>1214.9000000000001</v>
      </c>
      <c r="D645" s="8" t="s">
        <v>4133</v>
      </c>
      <c r="E645" s="8" t="s">
        <v>4109</v>
      </c>
      <c r="F645" s="8" t="s">
        <v>4134</v>
      </c>
      <c r="G645" s="6" t="s">
        <v>37</v>
      </c>
      <c r="H645" s="6" t="s">
        <v>98</v>
      </c>
      <c r="I645" s="8" t="s">
        <v>165</v>
      </c>
      <c r="J645" s="9">
        <v>1</v>
      </c>
      <c r="K645" s="9">
        <v>268</v>
      </c>
      <c r="L645" s="9">
        <v>2023</v>
      </c>
      <c r="M645" s="8" t="s">
        <v>4135</v>
      </c>
      <c r="N645" s="8" t="s">
        <v>56</v>
      </c>
      <c r="O645" s="8" t="s">
        <v>57</v>
      </c>
      <c r="P645" s="6" t="s">
        <v>42</v>
      </c>
      <c r="Q645" s="8" t="s">
        <v>43</v>
      </c>
      <c r="R645" s="10" t="s">
        <v>1245</v>
      </c>
      <c r="S645" s="11" t="s">
        <v>4136</v>
      </c>
      <c r="T645" s="6"/>
      <c r="U645" s="27" t="str">
        <f>HYPERLINK("https://media.infra-m.ru/1894/1894487/cover/1894487.jpg", "Обложка")</f>
        <v>Обложка</v>
      </c>
      <c r="V645" s="27" t="str">
        <f>HYPERLINK("https://znanium.com/catalog/product/925873", "Ознакомиться")</f>
        <v>Ознакомиться</v>
      </c>
      <c r="W645" s="8" t="s">
        <v>2905</v>
      </c>
      <c r="X645" s="6"/>
      <c r="Y645" s="6"/>
      <c r="Z645" s="6"/>
      <c r="AA645" s="6" t="s">
        <v>253</v>
      </c>
    </row>
    <row r="646" spans="1:27" s="4" customFormat="1" ht="51.95" customHeight="1">
      <c r="A646" s="5">
        <v>0</v>
      </c>
      <c r="B646" s="6" t="s">
        <v>4137</v>
      </c>
      <c r="C646" s="13">
        <v>1374</v>
      </c>
      <c r="D646" s="8" t="s">
        <v>4138</v>
      </c>
      <c r="E646" s="8" t="s">
        <v>4139</v>
      </c>
      <c r="F646" s="8" t="s">
        <v>2980</v>
      </c>
      <c r="G646" s="6" t="s">
        <v>37</v>
      </c>
      <c r="H646" s="6" t="s">
        <v>38</v>
      </c>
      <c r="I646" s="8"/>
      <c r="J646" s="9">
        <v>1</v>
      </c>
      <c r="K646" s="9">
        <v>299</v>
      </c>
      <c r="L646" s="9">
        <v>2024</v>
      </c>
      <c r="M646" s="8" t="s">
        <v>4140</v>
      </c>
      <c r="N646" s="8" t="s">
        <v>56</v>
      </c>
      <c r="O646" s="8" t="s">
        <v>57</v>
      </c>
      <c r="P646" s="6" t="s">
        <v>42</v>
      </c>
      <c r="Q646" s="8" t="s">
        <v>150</v>
      </c>
      <c r="R646" s="10" t="s">
        <v>4141</v>
      </c>
      <c r="S646" s="11" t="s">
        <v>4142</v>
      </c>
      <c r="T646" s="6"/>
      <c r="U646" s="27" t="str">
        <f>HYPERLINK("https://media.infra-m.ru/2110/2110044/cover/2110044.jpg", "Обложка")</f>
        <v>Обложка</v>
      </c>
      <c r="V646" s="27" t="str">
        <f>HYPERLINK("https://znanium.com/catalog/product/1153776", "Ознакомиться")</f>
        <v>Ознакомиться</v>
      </c>
      <c r="W646" s="8" t="s">
        <v>2200</v>
      </c>
      <c r="X646" s="6"/>
      <c r="Y646" s="6"/>
      <c r="Z646" s="6"/>
      <c r="AA646" s="6" t="s">
        <v>47</v>
      </c>
    </row>
    <row r="647" spans="1:27" s="4" customFormat="1" ht="51.95" customHeight="1">
      <c r="A647" s="5">
        <v>0</v>
      </c>
      <c r="B647" s="6" t="s">
        <v>4143</v>
      </c>
      <c r="C647" s="13">
        <v>1080</v>
      </c>
      <c r="D647" s="8" t="s">
        <v>4144</v>
      </c>
      <c r="E647" s="8" t="s">
        <v>4145</v>
      </c>
      <c r="F647" s="8" t="s">
        <v>4146</v>
      </c>
      <c r="G647" s="6" t="s">
        <v>67</v>
      </c>
      <c r="H647" s="6" t="s">
        <v>53</v>
      </c>
      <c r="I647" s="8" t="s">
        <v>2504</v>
      </c>
      <c r="J647" s="9">
        <v>1</v>
      </c>
      <c r="K647" s="9">
        <v>240</v>
      </c>
      <c r="L647" s="9">
        <v>2023</v>
      </c>
      <c r="M647" s="8" t="s">
        <v>4147</v>
      </c>
      <c r="N647" s="8" t="s">
        <v>56</v>
      </c>
      <c r="O647" s="8" t="s">
        <v>57</v>
      </c>
      <c r="P647" s="6" t="s">
        <v>2121</v>
      </c>
      <c r="Q647" s="8" t="s">
        <v>81</v>
      </c>
      <c r="R647" s="10" t="s">
        <v>4148</v>
      </c>
      <c r="S647" s="11"/>
      <c r="T647" s="6"/>
      <c r="U647" s="27" t="str">
        <f>HYPERLINK("https://media.infra-m.ru/1920/1920496/cover/1920496.jpg", "Обложка")</f>
        <v>Обложка</v>
      </c>
      <c r="V647" s="27" t="str">
        <f>HYPERLINK("https://znanium.com/catalog/product/1920496", "Ознакомиться")</f>
        <v>Ознакомиться</v>
      </c>
      <c r="W647" s="8" t="s">
        <v>72</v>
      </c>
      <c r="X647" s="6"/>
      <c r="Y647" s="6"/>
      <c r="Z647" s="6"/>
      <c r="AA647" s="6" t="s">
        <v>1335</v>
      </c>
    </row>
    <row r="648" spans="1:27" s="4" customFormat="1" ht="51.95" customHeight="1">
      <c r="A648" s="5">
        <v>0</v>
      </c>
      <c r="B648" s="6" t="s">
        <v>4149</v>
      </c>
      <c r="C648" s="13">
        <v>1464</v>
      </c>
      <c r="D648" s="8" t="s">
        <v>4150</v>
      </c>
      <c r="E648" s="8" t="s">
        <v>4151</v>
      </c>
      <c r="F648" s="8" t="s">
        <v>4152</v>
      </c>
      <c r="G648" s="6" t="s">
        <v>67</v>
      </c>
      <c r="H648" s="6" t="s">
        <v>53</v>
      </c>
      <c r="I648" s="8" t="s">
        <v>148</v>
      </c>
      <c r="J648" s="9">
        <v>1</v>
      </c>
      <c r="K648" s="9">
        <v>360</v>
      </c>
      <c r="L648" s="9">
        <v>2022</v>
      </c>
      <c r="M648" s="8" t="s">
        <v>4153</v>
      </c>
      <c r="N648" s="8" t="s">
        <v>56</v>
      </c>
      <c r="O648" s="8" t="s">
        <v>57</v>
      </c>
      <c r="P648" s="6" t="s">
        <v>42</v>
      </c>
      <c r="Q648" s="8" t="s">
        <v>150</v>
      </c>
      <c r="R648" s="10" t="s">
        <v>4154</v>
      </c>
      <c r="S648" s="11" t="s">
        <v>4155</v>
      </c>
      <c r="T648" s="6"/>
      <c r="U648" s="27" t="str">
        <f>HYPERLINK("https://media.infra-m.ru/1841/1841418/cover/1841418.jpg", "Обложка")</f>
        <v>Обложка</v>
      </c>
      <c r="V648" s="27" t="str">
        <f>HYPERLINK("https://znanium.com/catalog/product/1841418", "Ознакомиться")</f>
        <v>Ознакомиться</v>
      </c>
      <c r="W648" s="8" t="s">
        <v>3913</v>
      </c>
      <c r="X648" s="6"/>
      <c r="Y648" s="6"/>
      <c r="Z648" s="6"/>
      <c r="AA648" s="6" t="s">
        <v>1335</v>
      </c>
    </row>
    <row r="649" spans="1:27" s="4" customFormat="1" ht="51.95" customHeight="1">
      <c r="A649" s="5">
        <v>0</v>
      </c>
      <c r="B649" s="6" t="s">
        <v>4156</v>
      </c>
      <c r="C649" s="7">
        <v>970</v>
      </c>
      <c r="D649" s="8" t="s">
        <v>4157</v>
      </c>
      <c r="E649" s="8" t="s">
        <v>4139</v>
      </c>
      <c r="F649" s="8" t="s">
        <v>4152</v>
      </c>
      <c r="G649" s="6" t="s">
        <v>37</v>
      </c>
      <c r="H649" s="6" t="s">
        <v>53</v>
      </c>
      <c r="I649" s="8" t="s">
        <v>148</v>
      </c>
      <c r="J649" s="9">
        <v>1</v>
      </c>
      <c r="K649" s="9">
        <v>329</v>
      </c>
      <c r="L649" s="9">
        <v>2017</v>
      </c>
      <c r="M649" s="8" t="s">
        <v>4158</v>
      </c>
      <c r="N649" s="8" t="s">
        <v>56</v>
      </c>
      <c r="O649" s="8" t="s">
        <v>57</v>
      </c>
      <c r="P649" s="6" t="s">
        <v>42</v>
      </c>
      <c r="Q649" s="8" t="s">
        <v>150</v>
      </c>
      <c r="R649" s="10" t="s">
        <v>4154</v>
      </c>
      <c r="S649" s="11" t="s">
        <v>4159</v>
      </c>
      <c r="T649" s="6"/>
      <c r="U649" s="27" t="str">
        <f>HYPERLINK("https://media.infra-m.ru/0615/0615081/cover/615081.jpg", "Обложка")</f>
        <v>Обложка</v>
      </c>
      <c r="V649" s="27" t="str">
        <f>HYPERLINK("https://znanium.com/catalog/product/1841418", "Ознакомиться")</f>
        <v>Ознакомиться</v>
      </c>
      <c r="W649" s="8" t="s">
        <v>3913</v>
      </c>
      <c r="X649" s="6"/>
      <c r="Y649" s="6"/>
      <c r="Z649" s="6"/>
      <c r="AA649" s="6" t="s">
        <v>308</v>
      </c>
    </row>
    <row r="650" spans="1:27" s="4" customFormat="1" ht="51.95" customHeight="1">
      <c r="A650" s="5">
        <v>0</v>
      </c>
      <c r="B650" s="6" t="s">
        <v>4160</v>
      </c>
      <c r="C650" s="7">
        <v>540</v>
      </c>
      <c r="D650" s="8" t="s">
        <v>4161</v>
      </c>
      <c r="E650" s="8" t="s">
        <v>4162</v>
      </c>
      <c r="F650" s="8" t="s">
        <v>2012</v>
      </c>
      <c r="G650" s="6" t="s">
        <v>52</v>
      </c>
      <c r="H650" s="6" t="s">
        <v>53</v>
      </c>
      <c r="I650" s="8" t="s">
        <v>2119</v>
      </c>
      <c r="J650" s="9">
        <v>1</v>
      </c>
      <c r="K650" s="9">
        <v>116</v>
      </c>
      <c r="L650" s="9">
        <v>2024</v>
      </c>
      <c r="M650" s="8" t="s">
        <v>4163</v>
      </c>
      <c r="N650" s="8" t="s">
        <v>56</v>
      </c>
      <c r="O650" s="8" t="s">
        <v>57</v>
      </c>
      <c r="P650" s="6" t="s">
        <v>2121</v>
      </c>
      <c r="Q650" s="8" t="s">
        <v>81</v>
      </c>
      <c r="R650" s="10" t="s">
        <v>4164</v>
      </c>
      <c r="S650" s="11"/>
      <c r="T650" s="6"/>
      <c r="U650" s="27" t="str">
        <f>HYPERLINK("https://media.infra-m.ru/2083/2083908/cover/2083908.jpg", "Обложка")</f>
        <v>Обложка</v>
      </c>
      <c r="V650" s="27" t="str">
        <f>HYPERLINK("https://znanium.com/catalog/product/2083908", "Ознакомиться")</f>
        <v>Ознакомиться</v>
      </c>
      <c r="W650" s="8" t="s">
        <v>72</v>
      </c>
      <c r="X650" s="6"/>
      <c r="Y650" s="6"/>
      <c r="Z650" s="6"/>
      <c r="AA650" s="6" t="s">
        <v>62</v>
      </c>
    </row>
    <row r="651" spans="1:27" s="4" customFormat="1" ht="51.95" customHeight="1">
      <c r="A651" s="5">
        <v>0</v>
      </c>
      <c r="B651" s="6" t="s">
        <v>4165</v>
      </c>
      <c r="C651" s="13">
        <v>1774</v>
      </c>
      <c r="D651" s="8" t="s">
        <v>4166</v>
      </c>
      <c r="E651" s="8" t="s">
        <v>4167</v>
      </c>
      <c r="F651" s="8" t="s">
        <v>4168</v>
      </c>
      <c r="G651" s="6" t="s">
        <v>37</v>
      </c>
      <c r="H651" s="6" t="s">
        <v>53</v>
      </c>
      <c r="I651" s="8" t="s">
        <v>165</v>
      </c>
      <c r="J651" s="9">
        <v>1</v>
      </c>
      <c r="K651" s="9">
        <v>848</v>
      </c>
      <c r="L651" s="9">
        <v>2024</v>
      </c>
      <c r="M651" s="8" t="s">
        <v>4169</v>
      </c>
      <c r="N651" s="8" t="s">
        <v>56</v>
      </c>
      <c r="O651" s="8" t="s">
        <v>57</v>
      </c>
      <c r="P651" s="6" t="s">
        <v>69</v>
      </c>
      <c r="Q651" s="8" t="s">
        <v>43</v>
      </c>
      <c r="R651" s="10" t="s">
        <v>4170</v>
      </c>
      <c r="S651" s="11" t="s">
        <v>4171</v>
      </c>
      <c r="T651" s="6"/>
      <c r="U651" s="27" t="str">
        <f>HYPERLINK("https://media.infra-m.ru/2107/2107424/cover/2107424.jpg", "Обложка")</f>
        <v>Обложка</v>
      </c>
      <c r="V651" s="27" t="str">
        <f>HYPERLINK("https://znanium.com/catalog/product/1242305", "Ознакомиться")</f>
        <v>Ознакомиться</v>
      </c>
      <c r="W651" s="8" t="s">
        <v>72</v>
      </c>
      <c r="X651" s="6"/>
      <c r="Y651" s="6" t="s">
        <v>30</v>
      </c>
      <c r="Z651" s="6"/>
      <c r="AA651" s="6" t="s">
        <v>4172</v>
      </c>
    </row>
    <row r="652" spans="1:27" s="4" customFormat="1" ht="51.95" customHeight="1">
      <c r="A652" s="5">
        <v>0</v>
      </c>
      <c r="B652" s="6" t="s">
        <v>4173</v>
      </c>
      <c r="C652" s="7">
        <v>954</v>
      </c>
      <c r="D652" s="8" t="s">
        <v>4174</v>
      </c>
      <c r="E652" s="8" t="s">
        <v>4162</v>
      </c>
      <c r="F652" s="8" t="s">
        <v>2980</v>
      </c>
      <c r="G652" s="6" t="s">
        <v>37</v>
      </c>
      <c r="H652" s="6" t="s">
        <v>38</v>
      </c>
      <c r="I652" s="8"/>
      <c r="J652" s="9">
        <v>1</v>
      </c>
      <c r="K652" s="9">
        <v>208</v>
      </c>
      <c r="L652" s="9">
        <v>2024</v>
      </c>
      <c r="M652" s="8" t="s">
        <v>4175</v>
      </c>
      <c r="N652" s="8" t="s">
        <v>56</v>
      </c>
      <c r="O652" s="8" t="s">
        <v>57</v>
      </c>
      <c r="P652" s="6" t="s">
        <v>42</v>
      </c>
      <c r="Q652" s="8" t="s">
        <v>43</v>
      </c>
      <c r="R652" s="10" t="s">
        <v>4154</v>
      </c>
      <c r="S652" s="11" t="s">
        <v>4176</v>
      </c>
      <c r="T652" s="6"/>
      <c r="U652" s="27" t="str">
        <f>HYPERLINK("https://media.infra-m.ru/1873/1873253/cover/1873253.jpg", "Обложка")</f>
        <v>Обложка</v>
      </c>
      <c r="V652" s="27" t="str">
        <f>HYPERLINK("https://znanium.com/catalog/product/1816642", "Ознакомиться")</f>
        <v>Ознакомиться</v>
      </c>
      <c r="W652" s="8" t="s">
        <v>2200</v>
      </c>
      <c r="X652" s="6"/>
      <c r="Y652" s="6"/>
      <c r="Z652" s="6"/>
      <c r="AA652" s="6" t="s">
        <v>208</v>
      </c>
    </row>
    <row r="653" spans="1:27" s="4" customFormat="1" ht="51.95" customHeight="1">
      <c r="A653" s="5">
        <v>0</v>
      </c>
      <c r="B653" s="6" t="s">
        <v>4177</v>
      </c>
      <c r="C653" s="13">
        <v>1314.9</v>
      </c>
      <c r="D653" s="8" t="s">
        <v>4178</v>
      </c>
      <c r="E653" s="8" t="s">
        <v>4179</v>
      </c>
      <c r="F653" s="8" t="s">
        <v>4180</v>
      </c>
      <c r="G653" s="6" t="s">
        <v>37</v>
      </c>
      <c r="H653" s="6" t="s">
        <v>53</v>
      </c>
      <c r="I653" s="8" t="s">
        <v>165</v>
      </c>
      <c r="J653" s="9">
        <v>1</v>
      </c>
      <c r="K653" s="9">
        <v>345</v>
      </c>
      <c r="L653" s="9">
        <v>2022</v>
      </c>
      <c r="M653" s="8" t="s">
        <v>4181</v>
      </c>
      <c r="N653" s="8" t="s">
        <v>56</v>
      </c>
      <c r="O653" s="8" t="s">
        <v>57</v>
      </c>
      <c r="P653" s="6" t="s">
        <v>42</v>
      </c>
      <c r="Q653" s="8" t="s">
        <v>43</v>
      </c>
      <c r="R653" s="10" t="s">
        <v>4182</v>
      </c>
      <c r="S653" s="11" t="s">
        <v>4183</v>
      </c>
      <c r="T653" s="6"/>
      <c r="U653" s="27" t="str">
        <f>HYPERLINK("https://media.infra-m.ru/1842/1842557/cover/1842557.jpg", "Обложка")</f>
        <v>Обложка</v>
      </c>
      <c r="V653" s="27" t="str">
        <f>HYPERLINK("https://znanium.com/catalog/product/918383", "Ознакомиться")</f>
        <v>Ознакомиться</v>
      </c>
      <c r="W653" s="8" t="s">
        <v>2022</v>
      </c>
      <c r="X653" s="6"/>
      <c r="Y653" s="6"/>
      <c r="Z653" s="6"/>
      <c r="AA653" s="6" t="s">
        <v>4184</v>
      </c>
    </row>
    <row r="654" spans="1:27" s="4" customFormat="1" ht="44.1" customHeight="1">
      <c r="A654" s="5">
        <v>0</v>
      </c>
      <c r="B654" s="6" t="s">
        <v>4185</v>
      </c>
      <c r="C654" s="7">
        <v>130</v>
      </c>
      <c r="D654" s="8" t="s">
        <v>4186</v>
      </c>
      <c r="E654" s="8" t="s">
        <v>4162</v>
      </c>
      <c r="F654" s="8" t="s">
        <v>1098</v>
      </c>
      <c r="G654" s="6" t="s">
        <v>52</v>
      </c>
      <c r="H654" s="6" t="s">
        <v>98</v>
      </c>
      <c r="I654" s="8" t="s">
        <v>297</v>
      </c>
      <c r="J654" s="9">
        <v>1</v>
      </c>
      <c r="K654" s="9">
        <v>102</v>
      </c>
      <c r="L654" s="9">
        <v>2022</v>
      </c>
      <c r="M654" s="8" t="s">
        <v>4187</v>
      </c>
      <c r="N654" s="8" t="s">
        <v>56</v>
      </c>
      <c r="O654" s="8" t="s">
        <v>57</v>
      </c>
      <c r="P654" s="6" t="s">
        <v>299</v>
      </c>
      <c r="Q654" s="8" t="s">
        <v>43</v>
      </c>
      <c r="R654" s="10" t="s">
        <v>4188</v>
      </c>
      <c r="S654" s="11"/>
      <c r="T654" s="6"/>
      <c r="U654" s="27" t="str">
        <f>HYPERLINK("https://media.infra-m.ru/1864/1864471/cover/1864471.jpg", "Обложка")</f>
        <v>Обложка</v>
      </c>
      <c r="V654" s="27" t="str">
        <f>HYPERLINK("https://znanium.com/catalog/product/1864471", "Ознакомиться")</f>
        <v>Ознакомиться</v>
      </c>
      <c r="W654" s="8"/>
      <c r="X654" s="6"/>
      <c r="Y654" s="6"/>
      <c r="Z654" s="6"/>
      <c r="AA654" s="6" t="s">
        <v>1306</v>
      </c>
    </row>
    <row r="655" spans="1:27" s="4" customFormat="1" ht="51.95" customHeight="1">
      <c r="A655" s="5">
        <v>0</v>
      </c>
      <c r="B655" s="6" t="s">
        <v>4189</v>
      </c>
      <c r="C655" s="13">
        <v>1234.9000000000001</v>
      </c>
      <c r="D655" s="8" t="s">
        <v>4190</v>
      </c>
      <c r="E655" s="8" t="s">
        <v>4191</v>
      </c>
      <c r="F655" s="8" t="s">
        <v>4152</v>
      </c>
      <c r="G655" s="6" t="s">
        <v>37</v>
      </c>
      <c r="H655" s="6" t="s">
        <v>53</v>
      </c>
      <c r="I655" s="8" t="s">
        <v>165</v>
      </c>
      <c r="J655" s="9">
        <v>12</v>
      </c>
      <c r="K655" s="9">
        <v>324</v>
      </c>
      <c r="L655" s="9">
        <v>2022</v>
      </c>
      <c r="M655" s="8" t="s">
        <v>4192</v>
      </c>
      <c r="N655" s="8" t="s">
        <v>56</v>
      </c>
      <c r="O655" s="8" t="s">
        <v>57</v>
      </c>
      <c r="P655" s="6" t="s">
        <v>42</v>
      </c>
      <c r="Q655" s="8" t="s">
        <v>43</v>
      </c>
      <c r="R655" s="10" t="s">
        <v>4193</v>
      </c>
      <c r="S655" s="11" t="s">
        <v>4194</v>
      </c>
      <c r="T655" s="6"/>
      <c r="U655" s="27" t="str">
        <f>HYPERLINK("https://media.infra-m.ru/1832/1832150/cover/1832150.jpg", "Обложка")</f>
        <v>Обложка</v>
      </c>
      <c r="V655" s="27" t="str">
        <f>HYPERLINK("https://znanium.com/catalog/product/1832150", "Ознакомиться")</f>
        <v>Ознакомиться</v>
      </c>
      <c r="W655" s="8" t="s">
        <v>3913</v>
      </c>
      <c r="X655" s="6"/>
      <c r="Y655" s="6"/>
      <c r="Z655" s="6"/>
      <c r="AA655" s="6" t="s">
        <v>1335</v>
      </c>
    </row>
    <row r="656" spans="1:27" s="4" customFormat="1" ht="44.1" customHeight="1">
      <c r="A656" s="5">
        <v>0</v>
      </c>
      <c r="B656" s="6" t="s">
        <v>4195</v>
      </c>
      <c r="C656" s="7">
        <v>550</v>
      </c>
      <c r="D656" s="8" t="s">
        <v>4196</v>
      </c>
      <c r="E656" s="8" t="s">
        <v>4197</v>
      </c>
      <c r="F656" s="8" t="s">
        <v>4198</v>
      </c>
      <c r="G656" s="6" t="s">
        <v>52</v>
      </c>
      <c r="H656" s="6" t="s">
        <v>53</v>
      </c>
      <c r="I656" s="8" t="s">
        <v>114</v>
      </c>
      <c r="J656" s="9">
        <v>1</v>
      </c>
      <c r="K656" s="9">
        <v>118</v>
      </c>
      <c r="L656" s="9">
        <v>2024</v>
      </c>
      <c r="M656" s="8" t="s">
        <v>4199</v>
      </c>
      <c r="N656" s="8" t="s">
        <v>56</v>
      </c>
      <c r="O656" s="8" t="s">
        <v>57</v>
      </c>
      <c r="P656" s="6" t="s">
        <v>116</v>
      </c>
      <c r="Q656" s="8" t="s">
        <v>81</v>
      </c>
      <c r="R656" s="10" t="s">
        <v>4200</v>
      </c>
      <c r="S656" s="11"/>
      <c r="T656" s="6"/>
      <c r="U656" s="27" t="str">
        <f>HYPERLINK("https://media.infra-m.ru/1830/1830703/cover/1830703.jpg", "Обложка")</f>
        <v>Обложка</v>
      </c>
      <c r="V656" s="27" t="str">
        <f>HYPERLINK("https://znanium.com/catalog/product/1830703", "Ознакомиться")</f>
        <v>Ознакомиться</v>
      </c>
      <c r="W656" s="8" t="s">
        <v>72</v>
      </c>
      <c r="X656" s="6"/>
      <c r="Y656" s="6"/>
      <c r="Z656" s="6"/>
      <c r="AA656" s="6" t="s">
        <v>208</v>
      </c>
    </row>
    <row r="657" spans="1:27" s="4" customFormat="1" ht="51.95" customHeight="1">
      <c r="A657" s="5">
        <v>0</v>
      </c>
      <c r="B657" s="6" t="s">
        <v>4201</v>
      </c>
      <c r="C657" s="13">
        <v>1140</v>
      </c>
      <c r="D657" s="8" t="s">
        <v>4202</v>
      </c>
      <c r="E657" s="8" t="s">
        <v>4203</v>
      </c>
      <c r="F657" s="8" t="s">
        <v>4204</v>
      </c>
      <c r="G657" s="6" t="s">
        <v>67</v>
      </c>
      <c r="H657" s="6" t="s">
        <v>53</v>
      </c>
      <c r="I657" s="8" t="s">
        <v>165</v>
      </c>
      <c r="J657" s="9">
        <v>1</v>
      </c>
      <c r="K657" s="9">
        <v>252</v>
      </c>
      <c r="L657" s="9">
        <v>2023</v>
      </c>
      <c r="M657" s="8" t="s">
        <v>4205</v>
      </c>
      <c r="N657" s="8" t="s">
        <v>56</v>
      </c>
      <c r="O657" s="8" t="s">
        <v>57</v>
      </c>
      <c r="P657" s="6" t="s">
        <v>69</v>
      </c>
      <c r="Q657" s="8" t="s">
        <v>43</v>
      </c>
      <c r="R657" s="10" t="s">
        <v>4206</v>
      </c>
      <c r="S657" s="11" t="s">
        <v>4207</v>
      </c>
      <c r="T657" s="6"/>
      <c r="U657" s="27" t="str">
        <f>HYPERLINK("https://media.infra-m.ru/1905/1905237/cover/1905237.jpg", "Обложка")</f>
        <v>Обложка</v>
      </c>
      <c r="V657" s="27" t="str">
        <f>HYPERLINK("https://znanium.com/catalog/product/1905237", "Ознакомиться")</f>
        <v>Ознакомиться</v>
      </c>
      <c r="W657" s="8" t="s">
        <v>4208</v>
      </c>
      <c r="X657" s="6"/>
      <c r="Y657" s="6"/>
      <c r="Z657" s="6"/>
      <c r="AA657" s="6" t="s">
        <v>288</v>
      </c>
    </row>
    <row r="658" spans="1:27" s="4" customFormat="1" ht="51.95" customHeight="1">
      <c r="A658" s="5">
        <v>0</v>
      </c>
      <c r="B658" s="6" t="s">
        <v>4209</v>
      </c>
      <c r="C658" s="7">
        <v>910</v>
      </c>
      <c r="D658" s="8" t="s">
        <v>4210</v>
      </c>
      <c r="E658" s="8" t="s">
        <v>4203</v>
      </c>
      <c r="F658" s="8" t="s">
        <v>4211</v>
      </c>
      <c r="G658" s="6" t="s">
        <v>67</v>
      </c>
      <c r="H658" s="6" t="s">
        <v>53</v>
      </c>
      <c r="I658" s="8" t="s">
        <v>165</v>
      </c>
      <c r="J658" s="9">
        <v>1</v>
      </c>
      <c r="K658" s="9">
        <v>202</v>
      </c>
      <c r="L658" s="9">
        <v>2023</v>
      </c>
      <c r="M658" s="8" t="s">
        <v>4212</v>
      </c>
      <c r="N658" s="8" t="s">
        <v>56</v>
      </c>
      <c r="O658" s="8" t="s">
        <v>57</v>
      </c>
      <c r="P658" s="6" t="s">
        <v>42</v>
      </c>
      <c r="Q658" s="8" t="s">
        <v>43</v>
      </c>
      <c r="R658" s="10" t="s">
        <v>4213</v>
      </c>
      <c r="S658" s="11" t="s">
        <v>4214</v>
      </c>
      <c r="T658" s="6"/>
      <c r="U658" s="27" t="str">
        <f>HYPERLINK("https://media.infra-m.ru/1877/1877108/cover/1877108.jpg", "Обложка")</f>
        <v>Обложка</v>
      </c>
      <c r="V658" s="27" t="str">
        <f>HYPERLINK("https://znanium.com/catalog/product/1877108", "Ознакомиться")</f>
        <v>Ознакомиться</v>
      </c>
      <c r="W658" s="8" t="s">
        <v>118</v>
      </c>
      <c r="X658" s="6"/>
      <c r="Y658" s="6"/>
      <c r="Z658" s="6" t="s">
        <v>4215</v>
      </c>
      <c r="AA658" s="6" t="s">
        <v>510</v>
      </c>
    </row>
    <row r="659" spans="1:27" s="4" customFormat="1" ht="51.95" customHeight="1">
      <c r="A659" s="5">
        <v>0</v>
      </c>
      <c r="B659" s="6" t="s">
        <v>4216</v>
      </c>
      <c r="C659" s="7">
        <v>744</v>
      </c>
      <c r="D659" s="8" t="s">
        <v>4217</v>
      </c>
      <c r="E659" s="8" t="s">
        <v>4218</v>
      </c>
      <c r="F659" s="8" t="s">
        <v>4219</v>
      </c>
      <c r="G659" s="6" t="s">
        <v>52</v>
      </c>
      <c r="H659" s="6" t="s">
        <v>53</v>
      </c>
      <c r="I659" s="8" t="s">
        <v>165</v>
      </c>
      <c r="J659" s="9">
        <v>1</v>
      </c>
      <c r="K659" s="9">
        <v>160</v>
      </c>
      <c r="L659" s="9">
        <v>2024</v>
      </c>
      <c r="M659" s="8" t="s">
        <v>4220</v>
      </c>
      <c r="N659" s="8" t="s">
        <v>56</v>
      </c>
      <c r="O659" s="8" t="s">
        <v>57</v>
      </c>
      <c r="P659" s="6" t="s">
        <v>42</v>
      </c>
      <c r="Q659" s="8" t="s">
        <v>43</v>
      </c>
      <c r="R659" s="10" t="s">
        <v>4221</v>
      </c>
      <c r="S659" s="11" t="s">
        <v>4222</v>
      </c>
      <c r="T659" s="6"/>
      <c r="U659" s="27" t="str">
        <f>HYPERLINK("https://media.infra-m.ru/2053/2053986/cover/2053986.jpg", "Обложка")</f>
        <v>Обложка</v>
      </c>
      <c r="V659" s="27" t="str">
        <f>HYPERLINK("https://znanium.com/catalog/product/1210720", "Ознакомиться")</f>
        <v>Ознакомиться</v>
      </c>
      <c r="W659" s="8" t="s">
        <v>4223</v>
      </c>
      <c r="X659" s="6"/>
      <c r="Y659" s="6"/>
      <c r="Z659" s="6"/>
      <c r="AA659" s="6" t="s">
        <v>722</v>
      </c>
    </row>
    <row r="660" spans="1:27" s="4" customFormat="1" ht="51.95" customHeight="1">
      <c r="A660" s="5">
        <v>0</v>
      </c>
      <c r="B660" s="6" t="s">
        <v>4224</v>
      </c>
      <c r="C660" s="7">
        <v>154.9</v>
      </c>
      <c r="D660" s="8" t="s">
        <v>4225</v>
      </c>
      <c r="E660" s="8" t="s">
        <v>4203</v>
      </c>
      <c r="F660" s="8"/>
      <c r="G660" s="6" t="s">
        <v>52</v>
      </c>
      <c r="H660" s="6" t="s">
        <v>98</v>
      </c>
      <c r="I660" s="8" t="s">
        <v>297</v>
      </c>
      <c r="J660" s="9">
        <v>1</v>
      </c>
      <c r="K660" s="9">
        <v>129</v>
      </c>
      <c r="L660" s="9">
        <v>2022</v>
      </c>
      <c r="M660" s="8" t="s">
        <v>4226</v>
      </c>
      <c r="N660" s="8" t="s">
        <v>56</v>
      </c>
      <c r="O660" s="8" t="s">
        <v>57</v>
      </c>
      <c r="P660" s="6" t="s">
        <v>299</v>
      </c>
      <c r="Q660" s="8" t="s">
        <v>43</v>
      </c>
      <c r="R660" s="10" t="s">
        <v>4227</v>
      </c>
      <c r="S660" s="11"/>
      <c r="T660" s="6"/>
      <c r="U660" s="12"/>
      <c r="V660" s="27" t="str">
        <f>HYPERLINK("https://znanium.com/catalog/product/254071", "Ознакомиться")</f>
        <v>Ознакомиться</v>
      </c>
      <c r="W660" s="8"/>
      <c r="X660" s="6"/>
      <c r="Y660" s="6"/>
      <c r="Z660" s="6"/>
      <c r="AA660" s="6" t="s">
        <v>548</v>
      </c>
    </row>
    <row r="661" spans="1:27" s="4" customFormat="1" ht="51.95" customHeight="1">
      <c r="A661" s="5">
        <v>0</v>
      </c>
      <c r="B661" s="6" t="s">
        <v>4228</v>
      </c>
      <c r="C661" s="7">
        <v>704.9</v>
      </c>
      <c r="D661" s="8" t="s">
        <v>4229</v>
      </c>
      <c r="E661" s="8" t="s">
        <v>4230</v>
      </c>
      <c r="F661" s="8" t="s">
        <v>4231</v>
      </c>
      <c r="G661" s="6" t="s">
        <v>52</v>
      </c>
      <c r="H661" s="6" t="s">
        <v>53</v>
      </c>
      <c r="I661" s="8" t="s">
        <v>165</v>
      </c>
      <c r="J661" s="9">
        <v>1</v>
      </c>
      <c r="K661" s="9">
        <v>156</v>
      </c>
      <c r="L661" s="9">
        <v>2023</v>
      </c>
      <c r="M661" s="8" t="s">
        <v>4232</v>
      </c>
      <c r="N661" s="8" t="s">
        <v>56</v>
      </c>
      <c r="O661" s="8" t="s">
        <v>57</v>
      </c>
      <c r="P661" s="6" t="s">
        <v>42</v>
      </c>
      <c r="Q661" s="8" t="s">
        <v>43</v>
      </c>
      <c r="R661" s="10" t="s">
        <v>4233</v>
      </c>
      <c r="S661" s="11" t="s">
        <v>4234</v>
      </c>
      <c r="T661" s="6"/>
      <c r="U661" s="27" t="str">
        <f>HYPERLINK("https://media.infra-m.ru/1911/1911154/cover/1911154.jpg", "Обложка")</f>
        <v>Обложка</v>
      </c>
      <c r="V661" s="27" t="str">
        <f>HYPERLINK("https://znanium.com/catalog/product/1290641", "Ознакомиться")</f>
        <v>Ознакомиться</v>
      </c>
      <c r="W661" s="8" t="s">
        <v>1163</v>
      </c>
      <c r="X661" s="6"/>
      <c r="Y661" s="6"/>
      <c r="Z661" s="6"/>
      <c r="AA661" s="6" t="s">
        <v>47</v>
      </c>
    </row>
    <row r="662" spans="1:27" s="4" customFormat="1" ht="44.1" customHeight="1">
      <c r="A662" s="5">
        <v>0</v>
      </c>
      <c r="B662" s="6" t="s">
        <v>4235</v>
      </c>
      <c r="C662" s="7">
        <v>660</v>
      </c>
      <c r="D662" s="8" t="s">
        <v>4236</v>
      </c>
      <c r="E662" s="8" t="s">
        <v>4237</v>
      </c>
      <c r="F662" s="8" t="s">
        <v>4238</v>
      </c>
      <c r="G662" s="6" t="s">
        <v>52</v>
      </c>
      <c r="H662" s="6" t="s">
        <v>53</v>
      </c>
      <c r="I662" s="8" t="s">
        <v>522</v>
      </c>
      <c r="J662" s="9">
        <v>1</v>
      </c>
      <c r="K662" s="9">
        <v>168</v>
      </c>
      <c r="L662" s="9">
        <v>2022</v>
      </c>
      <c r="M662" s="8" t="s">
        <v>4239</v>
      </c>
      <c r="N662" s="8" t="s">
        <v>56</v>
      </c>
      <c r="O662" s="8" t="s">
        <v>57</v>
      </c>
      <c r="P662" s="6" t="s">
        <v>116</v>
      </c>
      <c r="Q662" s="8" t="s">
        <v>81</v>
      </c>
      <c r="R662" s="10" t="s">
        <v>4240</v>
      </c>
      <c r="S662" s="11"/>
      <c r="T662" s="6"/>
      <c r="U662" s="27" t="str">
        <f>HYPERLINK("https://media.infra-m.ru/1839/1839457/cover/1839457.jpg", "Обложка")</f>
        <v>Обложка</v>
      </c>
      <c r="V662" s="12"/>
      <c r="W662" s="8" t="s">
        <v>524</v>
      </c>
      <c r="X662" s="6"/>
      <c r="Y662" s="6"/>
      <c r="Z662" s="6"/>
      <c r="AA662" s="6" t="s">
        <v>73</v>
      </c>
    </row>
    <row r="663" spans="1:27" s="4" customFormat="1" ht="51.95" customHeight="1">
      <c r="A663" s="5">
        <v>0</v>
      </c>
      <c r="B663" s="6" t="s">
        <v>4241</v>
      </c>
      <c r="C663" s="7">
        <v>894</v>
      </c>
      <c r="D663" s="8" t="s">
        <v>4242</v>
      </c>
      <c r="E663" s="8" t="s">
        <v>4243</v>
      </c>
      <c r="F663" s="8" t="s">
        <v>4244</v>
      </c>
      <c r="G663" s="6" t="s">
        <v>37</v>
      </c>
      <c r="H663" s="6" t="s">
        <v>867</v>
      </c>
      <c r="I663" s="8" t="s">
        <v>54</v>
      </c>
      <c r="J663" s="9">
        <v>1</v>
      </c>
      <c r="K663" s="9">
        <v>200</v>
      </c>
      <c r="L663" s="9">
        <v>2023</v>
      </c>
      <c r="M663" s="8" t="s">
        <v>4245</v>
      </c>
      <c r="N663" s="8" t="s">
        <v>56</v>
      </c>
      <c r="O663" s="8" t="s">
        <v>57</v>
      </c>
      <c r="P663" s="6" t="s">
        <v>69</v>
      </c>
      <c r="Q663" s="8" t="s">
        <v>43</v>
      </c>
      <c r="R663" s="10" t="s">
        <v>811</v>
      </c>
      <c r="S663" s="11" t="s">
        <v>4246</v>
      </c>
      <c r="T663" s="6"/>
      <c r="U663" s="27" t="str">
        <f>HYPERLINK("https://media.infra-m.ru/1865/1865359/cover/1865359.jpg", "Обложка")</f>
        <v>Обложка</v>
      </c>
      <c r="V663" s="27" t="str">
        <f>HYPERLINK("https://znanium.com/catalog/product/991843", "Ознакомиться")</f>
        <v>Ознакомиться</v>
      </c>
      <c r="W663" s="8" t="s">
        <v>134</v>
      </c>
      <c r="X663" s="6"/>
      <c r="Y663" s="6"/>
      <c r="Z663" s="6"/>
      <c r="AA663" s="6" t="s">
        <v>540</v>
      </c>
    </row>
    <row r="664" spans="1:27" s="4" customFormat="1" ht="44.1" customHeight="1">
      <c r="A664" s="5">
        <v>0</v>
      </c>
      <c r="B664" s="6" t="s">
        <v>4247</v>
      </c>
      <c r="C664" s="7">
        <v>697</v>
      </c>
      <c r="D664" s="8" t="s">
        <v>4248</v>
      </c>
      <c r="E664" s="8" t="s">
        <v>4249</v>
      </c>
      <c r="F664" s="8" t="s">
        <v>4250</v>
      </c>
      <c r="G664" s="6" t="s">
        <v>37</v>
      </c>
      <c r="H664" s="6" t="s">
        <v>867</v>
      </c>
      <c r="I664" s="8" t="s">
        <v>4251</v>
      </c>
      <c r="J664" s="9">
        <v>1</v>
      </c>
      <c r="K664" s="9">
        <v>128</v>
      </c>
      <c r="L664" s="9">
        <v>2024</v>
      </c>
      <c r="M664" s="8" t="s">
        <v>4252</v>
      </c>
      <c r="N664" s="8" t="s">
        <v>56</v>
      </c>
      <c r="O664" s="8" t="s">
        <v>57</v>
      </c>
      <c r="P664" s="6" t="s">
        <v>42</v>
      </c>
      <c r="Q664" s="8" t="s">
        <v>58</v>
      </c>
      <c r="R664" s="10" t="s">
        <v>4253</v>
      </c>
      <c r="S664" s="11"/>
      <c r="T664" s="6"/>
      <c r="U664" s="27" t="str">
        <f>HYPERLINK("https://media.infra-m.ru/2063/2063443/cover/2063443.jpg", "Обложка")</f>
        <v>Обложка</v>
      </c>
      <c r="V664" s="27" t="str">
        <f>HYPERLINK("https://znanium.com/catalog/product/1840467", "Ознакомиться")</f>
        <v>Ознакомиться</v>
      </c>
      <c r="W664" s="8" t="s">
        <v>1522</v>
      </c>
      <c r="X664" s="6"/>
      <c r="Y664" s="6"/>
      <c r="Z664" s="6"/>
      <c r="AA664" s="6" t="s">
        <v>540</v>
      </c>
    </row>
    <row r="665" spans="1:27" s="4" customFormat="1" ht="42" customHeight="1">
      <c r="A665" s="5">
        <v>0</v>
      </c>
      <c r="B665" s="6" t="s">
        <v>4254</v>
      </c>
      <c r="C665" s="7">
        <v>980</v>
      </c>
      <c r="D665" s="8" t="s">
        <v>4255</v>
      </c>
      <c r="E665" s="8" t="s">
        <v>4256</v>
      </c>
      <c r="F665" s="8" t="s">
        <v>4257</v>
      </c>
      <c r="G665" s="6" t="s">
        <v>37</v>
      </c>
      <c r="H665" s="6" t="s">
        <v>597</v>
      </c>
      <c r="I665" s="8"/>
      <c r="J665" s="9">
        <v>1</v>
      </c>
      <c r="K665" s="9">
        <v>216</v>
      </c>
      <c r="L665" s="9">
        <v>2023</v>
      </c>
      <c r="M665" s="8" t="s">
        <v>4258</v>
      </c>
      <c r="N665" s="8" t="s">
        <v>56</v>
      </c>
      <c r="O665" s="8" t="s">
        <v>57</v>
      </c>
      <c r="P665" s="6" t="s">
        <v>233</v>
      </c>
      <c r="Q665" s="8" t="s">
        <v>81</v>
      </c>
      <c r="R665" s="10" t="s">
        <v>4259</v>
      </c>
      <c r="S665" s="11"/>
      <c r="T665" s="6"/>
      <c r="U665" s="27" t="str">
        <f>HYPERLINK("https://media.infra-m.ru/1860/1860842/cover/1860842.jpg", "Обложка")</f>
        <v>Обложка</v>
      </c>
      <c r="V665" s="27" t="str">
        <f>HYPERLINK("https://znanium.com/catalog/product/1860842", "Ознакомиться")</f>
        <v>Ознакомиться</v>
      </c>
      <c r="W665" s="8"/>
      <c r="X665" s="6"/>
      <c r="Y665" s="6"/>
      <c r="Z665" s="6"/>
      <c r="AA665" s="6" t="s">
        <v>93</v>
      </c>
    </row>
    <row r="666" spans="1:27" s="4" customFormat="1" ht="42" customHeight="1">
      <c r="A666" s="5">
        <v>0</v>
      </c>
      <c r="B666" s="6" t="s">
        <v>4260</v>
      </c>
      <c r="C666" s="13">
        <v>1034</v>
      </c>
      <c r="D666" s="8" t="s">
        <v>4261</v>
      </c>
      <c r="E666" s="8" t="s">
        <v>4262</v>
      </c>
      <c r="F666" s="8" t="s">
        <v>865</v>
      </c>
      <c r="G666" s="6" t="s">
        <v>52</v>
      </c>
      <c r="H666" s="6" t="s">
        <v>53</v>
      </c>
      <c r="I666" s="8"/>
      <c r="J666" s="9">
        <v>1</v>
      </c>
      <c r="K666" s="9">
        <v>224</v>
      </c>
      <c r="L666" s="9">
        <v>2024</v>
      </c>
      <c r="M666" s="8" t="s">
        <v>4263</v>
      </c>
      <c r="N666" s="8" t="s">
        <v>56</v>
      </c>
      <c r="O666" s="8" t="s">
        <v>57</v>
      </c>
      <c r="P666" s="6" t="s">
        <v>116</v>
      </c>
      <c r="Q666" s="8" t="s">
        <v>81</v>
      </c>
      <c r="R666" s="10" t="s">
        <v>132</v>
      </c>
      <c r="S666" s="11"/>
      <c r="T666" s="6"/>
      <c r="U666" s="27" t="str">
        <f>HYPERLINK("https://media.infra-m.ru/2117/2117133/cover/2117133.jpg", "Обложка")</f>
        <v>Обложка</v>
      </c>
      <c r="V666" s="27" t="str">
        <f>HYPERLINK("https://znanium.com/catalog/product/1009299", "Ознакомиться")</f>
        <v>Ознакомиться</v>
      </c>
      <c r="W666" s="8" t="s">
        <v>287</v>
      </c>
      <c r="X666" s="6"/>
      <c r="Y666" s="6"/>
      <c r="Z666" s="6"/>
      <c r="AA666" s="6" t="s">
        <v>84</v>
      </c>
    </row>
    <row r="667" spans="1:27" s="4" customFormat="1" ht="51.95" customHeight="1">
      <c r="A667" s="5">
        <v>0</v>
      </c>
      <c r="B667" s="6" t="s">
        <v>4264</v>
      </c>
      <c r="C667" s="13">
        <v>2214</v>
      </c>
      <c r="D667" s="8" t="s">
        <v>4265</v>
      </c>
      <c r="E667" s="8" t="s">
        <v>4266</v>
      </c>
      <c r="F667" s="8" t="s">
        <v>1361</v>
      </c>
      <c r="G667" s="6" t="s">
        <v>67</v>
      </c>
      <c r="H667" s="6" t="s">
        <v>53</v>
      </c>
      <c r="I667" s="8" t="s">
        <v>165</v>
      </c>
      <c r="J667" s="9">
        <v>1</v>
      </c>
      <c r="K667" s="9">
        <v>492</v>
      </c>
      <c r="L667" s="9">
        <v>2023</v>
      </c>
      <c r="M667" s="8" t="s">
        <v>4267</v>
      </c>
      <c r="N667" s="8" t="s">
        <v>56</v>
      </c>
      <c r="O667" s="8" t="s">
        <v>57</v>
      </c>
      <c r="P667" s="6" t="s">
        <v>69</v>
      </c>
      <c r="Q667" s="8" t="s">
        <v>43</v>
      </c>
      <c r="R667" s="10" t="s">
        <v>2027</v>
      </c>
      <c r="S667" s="11" t="s">
        <v>4268</v>
      </c>
      <c r="T667" s="6"/>
      <c r="U667" s="27" t="str">
        <f>HYPERLINK("https://media.infra-m.ru/2021/2021403/cover/2021403.jpg", "Обложка")</f>
        <v>Обложка</v>
      </c>
      <c r="V667" s="27" t="str">
        <f>HYPERLINK("https://znanium.com/catalog/product/1324185", "Ознакомиться")</f>
        <v>Ознакомиться</v>
      </c>
      <c r="W667" s="8" t="s">
        <v>1364</v>
      </c>
      <c r="X667" s="6"/>
      <c r="Y667" s="6"/>
      <c r="Z667" s="6"/>
      <c r="AA667" s="6" t="s">
        <v>510</v>
      </c>
    </row>
    <row r="668" spans="1:27" s="4" customFormat="1" ht="51.95" customHeight="1">
      <c r="A668" s="5">
        <v>0</v>
      </c>
      <c r="B668" s="6" t="s">
        <v>4269</v>
      </c>
      <c r="C668" s="13">
        <v>1260</v>
      </c>
      <c r="D668" s="8" t="s">
        <v>4270</v>
      </c>
      <c r="E668" s="8" t="s">
        <v>4271</v>
      </c>
      <c r="F668" s="8" t="s">
        <v>4272</v>
      </c>
      <c r="G668" s="6" t="s">
        <v>67</v>
      </c>
      <c r="H668" s="6" t="s">
        <v>53</v>
      </c>
      <c r="I668" s="8" t="s">
        <v>191</v>
      </c>
      <c r="J668" s="9">
        <v>1</v>
      </c>
      <c r="K668" s="9">
        <v>273</v>
      </c>
      <c r="L668" s="9">
        <v>2024</v>
      </c>
      <c r="M668" s="8" t="s">
        <v>4273</v>
      </c>
      <c r="N668" s="8" t="s">
        <v>56</v>
      </c>
      <c r="O668" s="8" t="s">
        <v>57</v>
      </c>
      <c r="P668" s="6" t="s">
        <v>69</v>
      </c>
      <c r="Q668" s="8" t="s">
        <v>58</v>
      </c>
      <c r="R668" s="10" t="s">
        <v>4274</v>
      </c>
      <c r="S668" s="11" t="s">
        <v>4275</v>
      </c>
      <c r="T668" s="6" t="s">
        <v>277</v>
      </c>
      <c r="U668" s="27" t="str">
        <f>HYPERLINK("https://media.infra-m.ru/2079/2079945/cover/2079945.jpg", "Обложка")</f>
        <v>Обложка</v>
      </c>
      <c r="V668" s="27" t="str">
        <f>HYPERLINK("https://znanium.com/catalog/product/2079945", "Ознакомиться")</f>
        <v>Ознакомиться</v>
      </c>
      <c r="W668" s="8" t="s">
        <v>46</v>
      </c>
      <c r="X668" s="6"/>
      <c r="Y668" s="6"/>
      <c r="Z668" s="6"/>
      <c r="AA668" s="6" t="s">
        <v>425</v>
      </c>
    </row>
    <row r="669" spans="1:27" s="4" customFormat="1" ht="51.95" customHeight="1">
      <c r="A669" s="5">
        <v>0</v>
      </c>
      <c r="B669" s="6" t="s">
        <v>4276</v>
      </c>
      <c r="C669" s="7">
        <v>880</v>
      </c>
      <c r="D669" s="8" t="s">
        <v>4277</v>
      </c>
      <c r="E669" s="8" t="s">
        <v>4278</v>
      </c>
      <c r="F669" s="8" t="s">
        <v>4279</v>
      </c>
      <c r="G669" s="6" t="s">
        <v>67</v>
      </c>
      <c r="H669" s="6" t="s">
        <v>38</v>
      </c>
      <c r="I669" s="8"/>
      <c r="J669" s="9">
        <v>1</v>
      </c>
      <c r="K669" s="9">
        <v>256</v>
      </c>
      <c r="L669" s="9">
        <v>2020</v>
      </c>
      <c r="M669" s="8" t="s">
        <v>4280</v>
      </c>
      <c r="N669" s="8" t="s">
        <v>56</v>
      </c>
      <c r="O669" s="8" t="s">
        <v>57</v>
      </c>
      <c r="P669" s="6" t="s">
        <v>69</v>
      </c>
      <c r="Q669" s="8" t="s">
        <v>43</v>
      </c>
      <c r="R669" s="10" t="s">
        <v>4274</v>
      </c>
      <c r="S669" s="11"/>
      <c r="T669" s="6" t="s">
        <v>277</v>
      </c>
      <c r="U669" s="27" t="str">
        <f>HYPERLINK("https://media.infra-m.ru/0937/0937514/cover/937514.jpg", "Обложка")</f>
        <v>Обложка</v>
      </c>
      <c r="V669" s="27" t="str">
        <f>HYPERLINK("https://znanium.com/catalog/product/2079945", "Ознакомиться")</f>
        <v>Ознакомиться</v>
      </c>
      <c r="W669" s="8" t="s">
        <v>46</v>
      </c>
      <c r="X669" s="6"/>
      <c r="Y669" s="6"/>
      <c r="Z669" s="6"/>
      <c r="AA669" s="6" t="s">
        <v>253</v>
      </c>
    </row>
    <row r="670" spans="1:27" s="4" customFormat="1" ht="42" customHeight="1">
      <c r="A670" s="5">
        <v>0</v>
      </c>
      <c r="B670" s="6" t="s">
        <v>4281</v>
      </c>
      <c r="C670" s="7">
        <v>590</v>
      </c>
      <c r="D670" s="8" t="s">
        <v>4282</v>
      </c>
      <c r="E670" s="8" t="s">
        <v>4283</v>
      </c>
      <c r="F670" s="8" t="s">
        <v>4284</v>
      </c>
      <c r="G670" s="6" t="s">
        <v>52</v>
      </c>
      <c r="H670" s="6" t="s">
        <v>53</v>
      </c>
      <c r="I670" s="8" t="s">
        <v>114</v>
      </c>
      <c r="J670" s="9">
        <v>1</v>
      </c>
      <c r="K670" s="9">
        <v>151</v>
      </c>
      <c r="L670" s="9">
        <v>2022</v>
      </c>
      <c r="M670" s="8" t="s">
        <v>4285</v>
      </c>
      <c r="N670" s="8" t="s">
        <v>56</v>
      </c>
      <c r="O670" s="8" t="s">
        <v>57</v>
      </c>
      <c r="P670" s="6" t="s">
        <v>116</v>
      </c>
      <c r="Q670" s="8" t="s">
        <v>81</v>
      </c>
      <c r="R670" s="10" t="s">
        <v>4286</v>
      </c>
      <c r="S670" s="11"/>
      <c r="T670" s="6"/>
      <c r="U670" s="27" t="str">
        <f>HYPERLINK("https://media.infra-m.ru/1851/1851805/cover/1851805.jpg", "Обложка")</f>
        <v>Обложка</v>
      </c>
      <c r="V670" s="27" t="str">
        <f>HYPERLINK("https://znanium.com/catalog/product/1851805", "Ознакомиться")</f>
        <v>Ознакомиться</v>
      </c>
      <c r="W670" s="8" t="s">
        <v>91</v>
      </c>
      <c r="X670" s="6"/>
      <c r="Y670" s="6"/>
      <c r="Z670" s="6"/>
      <c r="AA670" s="6" t="s">
        <v>510</v>
      </c>
    </row>
    <row r="671" spans="1:27" s="4" customFormat="1" ht="51.95" customHeight="1">
      <c r="A671" s="5">
        <v>0</v>
      </c>
      <c r="B671" s="6" t="s">
        <v>4287</v>
      </c>
      <c r="C671" s="7">
        <v>854.9</v>
      </c>
      <c r="D671" s="8" t="s">
        <v>4288</v>
      </c>
      <c r="E671" s="8" t="s">
        <v>4289</v>
      </c>
      <c r="F671" s="8" t="s">
        <v>4290</v>
      </c>
      <c r="G671" s="6" t="s">
        <v>37</v>
      </c>
      <c r="H671" s="6" t="s">
        <v>265</v>
      </c>
      <c r="I671" s="8" t="s">
        <v>54</v>
      </c>
      <c r="J671" s="9">
        <v>1</v>
      </c>
      <c r="K671" s="9">
        <v>224</v>
      </c>
      <c r="L671" s="9">
        <v>2022</v>
      </c>
      <c r="M671" s="8" t="s">
        <v>4291</v>
      </c>
      <c r="N671" s="8" t="s">
        <v>56</v>
      </c>
      <c r="O671" s="8" t="s">
        <v>57</v>
      </c>
      <c r="P671" s="6" t="s">
        <v>42</v>
      </c>
      <c r="Q671" s="8" t="s">
        <v>43</v>
      </c>
      <c r="R671" s="10" t="s">
        <v>4292</v>
      </c>
      <c r="S671" s="11" t="s">
        <v>4293</v>
      </c>
      <c r="T671" s="6"/>
      <c r="U671" s="27" t="str">
        <f>HYPERLINK("https://media.infra-m.ru/1852/1852209/cover/1852209.jpg", "Обложка")</f>
        <v>Обложка</v>
      </c>
      <c r="V671" s="27" t="str">
        <f>HYPERLINK("https://znanium.com/catalog/product/1009079", "Ознакомиться")</f>
        <v>Ознакомиться</v>
      </c>
      <c r="W671" s="8" t="s">
        <v>4294</v>
      </c>
      <c r="X671" s="6"/>
      <c r="Y671" s="6"/>
      <c r="Z671" s="6"/>
      <c r="AA671" s="6" t="s">
        <v>47</v>
      </c>
    </row>
    <row r="672" spans="1:27" s="4" customFormat="1" ht="51.95" customHeight="1">
      <c r="A672" s="5">
        <v>0</v>
      </c>
      <c r="B672" s="6" t="s">
        <v>4295</v>
      </c>
      <c r="C672" s="13">
        <v>1074</v>
      </c>
      <c r="D672" s="8" t="s">
        <v>4296</v>
      </c>
      <c r="E672" s="8" t="s">
        <v>4297</v>
      </c>
      <c r="F672" s="8" t="s">
        <v>4298</v>
      </c>
      <c r="G672" s="6" t="s">
        <v>37</v>
      </c>
      <c r="H672" s="6" t="s">
        <v>53</v>
      </c>
      <c r="I672" s="8" t="s">
        <v>165</v>
      </c>
      <c r="J672" s="9">
        <v>1</v>
      </c>
      <c r="K672" s="9">
        <v>234</v>
      </c>
      <c r="L672" s="9">
        <v>2024</v>
      </c>
      <c r="M672" s="8" t="s">
        <v>4299</v>
      </c>
      <c r="N672" s="8" t="s">
        <v>56</v>
      </c>
      <c r="O672" s="8" t="s">
        <v>57</v>
      </c>
      <c r="P672" s="6" t="s">
        <v>42</v>
      </c>
      <c r="Q672" s="8" t="s">
        <v>43</v>
      </c>
      <c r="R672" s="10" t="s">
        <v>1501</v>
      </c>
      <c r="S672" s="11" t="s">
        <v>4300</v>
      </c>
      <c r="T672" s="6"/>
      <c r="U672" s="27" t="str">
        <f>HYPERLINK("https://media.infra-m.ru/2103/2103136/cover/2103136.jpg", "Обложка")</f>
        <v>Обложка</v>
      </c>
      <c r="V672" s="27" t="str">
        <f>HYPERLINK("https://znanium.com/catalog/product/1012451", "Ознакомиться")</f>
        <v>Ознакомиться</v>
      </c>
      <c r="W672" s="8" t="s">
        <v>4301</v>
      </c>
      <c r="X672" s="6"/>
      <c r="Y672" s="6"/>
      <c r="Z672" s="6"/>
      <c r="AA672" s="6" t="s">
        <v>208</v>
      </c>
    </row>
    <row r="673" spans="1:27" s="4" customFormat="1" ht="42" customHeight="1">
      <c r="A673" s="5">
        <v>0</v>
      </c>
      <c r="B673" s="6" t="s">
        <v>4302</v>
      </c>
      <c r="C673" s="7">
        <v>670</v>
      </c>
      <c r="D673" s="8" t="s">
        <v>4303</v>
      </c>
      <c r="E673" s="8" t="s">
        <v>4304</v>
      </c>
      <c r="F673" s="8" t="s">
        <v>2618</v>
      </c>
      <c r="G673" s="6" t="s">
        <v>52</v>
      </c>
      <c r="H673" s="6" t="s">
        <v>53</v>
      </c>
      <c r="I673" s="8" t="s">
        <v>114</v>
      </c>
      <c r="J673" s="9">
        <v>1</v>
      </c>
      <c r="K673" s="9">
        <v>178</v>
      </c>
      <c r="L673" s="9">
        <v>2021</v>
      </c>
      <c r="M673" s="8" t="s">
        <v>4305</v>
      </c>
      <c r="N673" s="8" t="s">
        <v>56</v>
      </c>
      <c r="O673" s="8" t="s">
        <v>57</v>
      </c>
      <c r="P673" s="6" t="s">
        <v>116</v>
      </c>
      <c r="Q673" s="8" t="s">
        <v>81</v>
      </c>
      <c r="R673" s="10" t="s">
        <v>1735</v>
      </c>
      <c r="S673" s="11"/>
      <c r="T673" s="6"/>
      <c r="U673" s="27" t="str">
        <f>HYPERLINK("https://media.infra-m.ru/1072/1072211/cover/1072211.jpg", "Обложка")</f>
        <v>Обложка</v>
      </c>
      <c r="V673" s="27" t="str">
        <f>HYPERLINK("https://znanium.com/catalog/product/1072211", "Ознакомиться")</f>
        <v>Ознакомиться</v>
      </c>
      <c r="W673" s="8" t="s">
        <v>2022</v>
      </c>
      <c r="X673" s="6"/>
      <c r="Y673" s="6"/>
      <c r="Z673" s="6"/>
      <c r="AA673" s="6" t="s">
        <v>143</v>
      </c>
    </row>
    <row r="674" spans="1:27" s="4" customFormat="1" ht="51.95" customHeight="1">
      <c r="A674" s="5">
        <v>0</v>
      </c>
      <c r="B674" s="6" t="s">
        <v>4306</v>
      </c>
      <c r="C674" s="13">
        <v>1920</v>
      </c>
      <c r="D674" s="8" t="s">
        <v>4307</v>
      </c>
      <c r="E674" s="8" t="s">
        <v>4308</v>
      </c>
      <c r="F674" s="8" t="s">
        <v>4309</v>
      </c>
      <c r="G674" s="6" t="s">
        <v>37</v>
      </c>
      <c r="H674" s="6" t="s">
        <v>53</v>
      </c>
      <c r="I674" s="8" t="s">
        <v>54</v>
      </c>
      <c r="J674" s="9">
        <v>1</v>
      </c>
      <c r="K674" s="9">
        <v>401</v>
      </c>
      <c r="L674" s="9">
        <v>2024</v>
      </c>
      <c r="M674" s="8" t="s">
        <v>4310</v>
      </c>
      <c r="N674" s="8" t="s">
        <v>56</v>
      </c>
      <c r="O674" s="8" t="s">
        <v>57</v>
      </c>
      <c r="P674" s="6" t="s">
        <v>42</v>
      </c>
      <c r="Q674" s="8" t="s">
        <v>58</v>
      </c>
      <c r="R674" s="10" t="s">
        <v>4311</v>
      </c>
      <c r="S674" s="11" t="s">
        <v>4312</v>
      </c>
      <c r="T674" s="6"/>
      <c r="U674" s="27" t="str">
        <f>HYPERLINK("https://media.infra-m.ru/2118/2118041/cover/2118041.jpg", "Обложка")</f>
        <v>Обложка</v>
      </c>
      <c r="V674" s="27" t="str">
        <f>HYPERLINK("https://znanium.com/catalog/product/2118041", "Ознакомиться")</f>
        <v>Ознакомиться</v>
      </c>
      <c r="W674" s="8" t="s">
        <v>4313</v>
      </c>
      <c r="X674" s="6"/>
      <c r="Y674" s="6"/>
      <c r="Z674" s="6"/>
      <c r="AA674" s="6" t="s">
        <v>294</v>
      </c>
    </row>
    <row r="675" spans="1:27" s="4" customFormat="1" ht="51.95" customHeight="1">
      <c r="A675" s="5">
        <v>0</v>
      </c>
      <c r="B675" s="6" t="s">
        <v>4314</v>
      </c>
      <c r="C675" s="13">
        <v>1024</v>
      </c>
      <c r="D675" s="8" t="s">
        <v>4315</v>
      </c>
      <c r="E675" s="8" t="s">
        <v>4316</v>
      </c>
      <c r="F675" s="8" t="s">
        <v>4317</v>
      </c>
      <c r="G675" s="6" t="s">
        <v>37</v>
      </c>
      <c r="H675" s="6" t="s">
        <v>53</v>
      </c>
      <c r="I675" s="8" t="s">
        <v>165</v>
      </c>
      <c r="J675" s="9">
        <v>1</v>
      </c>
      <c r="K675" s="9">
        <v>226</v>
      </c>
      <c r="L675" s="9">
        <v>2023</v>
      </c>
      <c r="M675" s="8" t="s">
        <v>4318</v>
      </c>
      <c r="N675" s="8" t="s">
        <v>56</v>
      </c>
      <c r="O675" s="8" t="s">
        <v>57</v>
      </c>
      <c r="P675" s="6" t="s">
        <v>42</v>
      </c>
      <c r="Q675" s="8" t="s">
        <v>43</v>
      </c>
      <c r="R675" s="10" t="s">
        <v>4319</v>
      </c>
      <c r="S675" s="11" t="s">
        <v>4320</v>
      </c>
      <c r="T675" s="6"/>
      <c r="U675" s="27" t="str">
        <f>HYPERLINK("https://media.infra-m.ru/2006/2006829/cover/2006829.jpg", "Обложка")</f>
        <v>Обложка</v>
      </c>
      <c r="V675" s="27" t="str">
        <f>HYPERLINK("https://znanium.com/catalog/product/1014786", "Ознакомиться")</f>
        <v>Ознакомиться</v>
      </c>
      <c r="W675" s="8" t="s">
        <v>4321</v>
      </c>
      <c r="X675" s="6"/>
      <c r="Y675" s="6"/>
      <c r="Z675" s="6"/>
      <c r="AA675" s="6" t="s">
        <v>601</v>
      </c>
    </row>
    <row r="676" spans="1:27" s="4" customFormat="1" ht="51.95" customHeight="1">
      <c r="A676" s="5">
        <v>0</v>
      </c>
      <c r="B676" s="6" t="s">
        <v>4322</v>
      </c>
      <c r="C676" s="13">
        <v>1094.9000000000001</v>
      </c>
      <c r="D676" s="8" t="s">
        <v>4323</v>
      </c>
      <c r="E676" s="8" t="s">
        <v>4324</v>
      </c>
      <c r="F676" s="8" t="s">
        <v>4325</v>
      </c>
      <c r="G676" s="6" t="s">
        <v>52</v>
      </c>
      <c r="H676" s="6" t="s">
        <v>53</v>
      </c>
      <c r="I676" s="8" t="s">
        <v>54</v>
      </c>
      <c r="J676" s="9">
        <v>1</v>
      </c>
      <c r="K676" s="9">
        <v>288</v>
      </c>
      <c r="L676" s="9">
        <v>2022</v>
      </c>
      <c r="M676" s="8" t="s">
        <v>4326</v>
      </c>
      <c r="N676" s="8" t="s">
        <v>56</v>
      </c>
      <c r="O676" s="8" t="s">
        <v>57</v>
      </c>
      <c r="P676" s="6" t="s">
        <v>42</v>
      </c>
      <c r="Q676" s="8" t="s">
        <v>43</v>
      </c>
      <c r="R676" s="10" t="s">
        <v>4327</v>
      </c>
      <c r="S676" s="11"/>
      <c r="T676" s="6"/>
      <c r="U676" s="27" t="str">
        <f>HYPERLINK("https://media.infra-m.ru/1843/1843611/cover/1843611.jpg", "Обложка")</f>
        <v>Обложка</v>
      </c>
      <c r="V676" s="27" t="str">
        <f>HYPERLINK("https://znanium.com/catalog/product/1016604", "Ознакомиться")</f>
        <v>Ознакомиться</v>
      </c>
      <c r="W676" s="8" t="s">
        <v>4328</v>
      </c>
      <c r="X676" s="6"/>
      <c r="Y676" s="6"/>
      <c r="Z676" s="6"/>
      <c r="AA676" s="6" t="s">
        <v>463</v>
      </c>
    </row>
    <row r="677" spans="1:27" s="4" customFormat="1" ht="51.95" customHeight="1">
      <c r="A677" s="5">
        <v>0</v>
      </c>
      <c r="B677" s="6" t="s">
        <v>4329</v>
      </c>
      <c r="C677" s="7">
        <v>540</v>
      </c>
      <c r="D677" s="8" t="s">
        <v>4330</v>
      </c>
      <c r="E677" s="8" t="s">
        <v>4331</v>
      </c>
      <c r="F677" s="8" t="s">
        <v>4332</v>
      </c>
      <c r="G677" s="6" t="s">
        <v>52</v>
      </c>
      <c r="H677" s="6" t="s">
        <v>53</v>
      </c>
      <c r="I677" s="8" t="s">
        <v>54</v>
      </c>
      <c r="J677" s="9">
        <v>1</v>
      </c>
      <c r="K677" s="9">
        <v>116</v>
      </c>
      <c r="L677" s="9">
        <v>2024</v>
      </c>
      <c r="M677" s="8" t="s">
        <v>4333</v>
      </c>
      <c r="N677" s="8" t="s">
        <v>56</v>
      </c>
      <c r="O677" s="8" t="s">
        <v>57</v>
      </c>
      <c r="P677" s="6" t="s">
        <v>42</v>
      </c>
      <c r="Q677" s="8" t="s">
        <v>58</v>
      </c>
      <c r="R677" s="10" t="s">
        <v>4334</v>
      </c>
      <c r="S677" s="11" t="s">
        <v>4335</v>
      </c>
      <c r="T677" s="6"/>
      <c r="U677" s="27" t="str">
        <f>HYPERLINK("https://media.infra-m.ru/2116/2116960/cover/2116960.jpg", "Обложка")</f>
        <v>Обложка</v>
      </c>
      <c r="V677" s="27" t="str">
        <f>HYPERLINK("https://znanium.com/catalog/product/2116960", "Ознакомиться")</f>
        <v>Ознакомиться</v>
      </c>
      <c r="W677" s="8" t="s">
        <v>4336</v>
      </c>
      <c r="X677" s="6"/>
      <c r="Y677" s="6"/>
      <c r="Z677" s="6"/>
      <c r="AA677" s="6" t="s">
        <v>84</v>
      </c>
    </row>
    <row r="678" spans="1:27" s="4" customFormat="1" ht="51.95" customHeight="1">
      <c r="A678" s="5">
        <v>0</v>
      </c>
      <c r="B678" s="6" t="s">
        <v>4337</v>
      </c>
      <c r="C678" s="7">
        <v>614.9</v>
      </c>
      <c r="D678" s="8" t="s">
        <v>4338</v>
      </c>
      <c r="E678" s="8" t="s">
        <v>4339</v>
      </c>
      <c r="F678" s="8" t="s">
        <v>4340</v>
      </c>
      <c r="G678" s="6" t="s">
        <v>52</v>
      </c>
      <c r="H678" s="6" t="s">
        <v>53</v>
      </c>
      <c r="I678" s="8" t="s">
        <v>114</v>
      </c>
      <c r="J678" s="9">
        <v>1</v>
      </c>
      <c r="K678" s="9">
        <v>157</v>
      </c>
      <c r="L678" s="9">
        <v>2022</v>
      </c>
      <c r="M678" s="8" t="s">
        <v>4341</v>
      </c>
      <c r="N678" s="8" t="s">
        <v>56</v>
      </c>
      <c r="O678" s="8" t="s">
        <v>57</v>
      </c>
      <c r="P678" s="6" t="s">
        <v>116</v>
      </c>
      <c r="Q678" s="8" t="s">
        <v>81</v>
      </c>
      <c r="R678" s="10" t="s">
        <v>1675</v>
      </c>
      <c r="S678" s="11"/>
      <c r="T678" s="6"/>
      <c r="U678" s="27" t="str">
        <f>HYPERLINK("https://media.infra-m.ru/1852/1852215/cover/1852215.jpg", "Обложка")</f>
        <v>Обложка</v>
      </c>
      <c r="V678" s="27" t="str">
        <f>HYPERLINK("https://znanium.com/catalog/product/1081396", "Ознакомиться")</f>
        <v>Ознакомиться</v>
      </c>
      <c r="W678" s="8" t="s">
        <v>46</v>
      </c>
      <c r="X678" s="6"/>
      <c r="Y678" s="6"/>
      <c r="Z678" s="6"/>
      <c r="AA678" s="6" t="s">
        <v>47</v>
      </c>
    </row>
    <row r="679" spans="1:27" s="4" customFormat="1" ht="51.95" customHeight="1">
      <c r="A679" s="5">
        <v>0</v>
      </c>
      <c r="B679" s="6" t="s">
        <v>4342</v>
      </c>
      <c r="C679" s="13">
        <v>1174</v>
      </c>
      <c r="D679" s="8" t="s">
        <v>4343</v>
      </c>
      <c r="E679" s="8" t="s">
        <v>4344</v>
      </c>
      <c r="F679" s="8" t="s">
        <v>4345</v>
      </c>
      <c r="G679" s="6" t="s">
        <v>67</v>
      </c>
      <c r="H679" s="6" t="s">
        <v>53</v>
      </c>
      <c r="I679" s="8" t="s">
        <v>165</v>
      </c>
      <c r="J679" s="9">
        <v>1</v>
      </c>
      <c r="K679" s="9">
        <v>256</v>
      </c>
      <c r="L679" s="9">
        <v>2024</v>
      </c>
      <c r="M679" s="8" t="s">
        <v>4346</v>
      </c>
      <c r="N679" s="8" t="s">
        <v>56</v>
      </c>
      <c r="O679" s="8" t="s">
        <v>57</v>
      </c>
      <c r="P679" s="6" t="s">
        <v>42</v>
      </c>
      <c r="Q679" s="8" t="s">
        <v>43</v>
      </c>
      <c r="R679" s="10" t="s">
        <v>4347</v>
      </c>
      <c r="S679" s="11" t="s">
        <v>4348</v>
      </c>
      <c r="T679" s="6"/>
      <c r="U679" s="27" t="str">
        <f>HYPERLINK("https://media.infra-m.ru/2083/2083311/cover/2083311.jpg", "Обложка")</f>
        <v>Обложка</v>
      </c>
      <c r="V679" s="27" t="str">
        <f>HYPERLINK("https://znanium.com/catalog/product/1217281", "Ознакомиться")</f>
        <v>Ознакомиться</v>
      </c>
      <c r="W679" s="8" t="s">
        <v>307</v>
      </c>
      <c r="X679" s="6"/>
      <c r="Y679" s="6"/>
      <c r="Z679" s="6"/>
      <c r="AA679" s="6" t="s">
        <v>62</v>
      </c>
    </row>
    <row r="680" spans="1:27" s="4" customFormat="1" ht="51.95" customHeight="1">
      <c r="A680" s="5">
        <v>0</v>
      </c>
      <c r="B680" s="6" t="s">
        <v>4349</v>
      </c>
      <c r="C680" s="7">
        <v>990</v>
      </c>
      <c r="D680" s="8" t="s">
        <v>4350</v>
      </c>
      <c r="E680" s="8" t="s">
        <v>4351</v>
      </c>
      <c r="F680" s="8" t="s">
        <v>4352</v>
      </c>
      <c r="G680" s="6" t="s">
        <v>37</v>
      </c>
      <c r="H680" s="6" t="s">
        <v>53</v>
      </c>
      <c r="I680" s="8" t="s">
        <v>148</v>
      </c>
      <c r="J680" s="9">
        <v>1</v>
      </c>
      <c r="K680" s="9">
        <v>203</v>
      </c>
      <c r="L680" s="9">
        <v>2023</v>
      </c>
      <c r="M680" s="8" t="s">
        <v>4353</v>
      </c>
      <c r="N680" s="8" t="s">
        <v>56</v>
      </c>
      <c r="O680" s="8" t="s">
        <v>57</v>
      </c>
      <c r="P680" s="6" t="s">
        <v>42</v>
      </c>
      <c r="Q680" s="8" t="s">
        <v>150</v>
      </c>
      <c r="R680" s="10" t="s">
        <v>4354</v>
      </c>
      <c r="S680" s="11"/>
      <c r="T680" s="6"/>
      <c r="U680" s="27" t="str">
        <f>HYPERLINK("https://media.infra-m.ru/1861/1861078/cover/1861078.jpg", "Обложка")</f>
        <v>Обложка</v>
      </c>
      <c r="V680" s="27" t="str">
        <f>HYPERLINK("https://znanium.com/catalog/product/1861078", "Ознакомиться")</f>
        <v>Ознакомиться</v>
      </c>
      <c r="W680" s="8" t="s">
        <v>841</v>
      </c>
      <c r="X680" s="6" t="s">
        <v>4355</v>
      </c>
      <c r="Y680" s="6"/>
      <c r="Z680" s="6"/>
      <c r="AA680" s="6" t="s">
        <v>93</v>
      </c>
    </row>
    <row r="681" spans="1:27" s="4" customFormat="1" ht="51.95" customHeight="1">
      <c r="A681" s="5">
        <v>0</v>
      </c>
      <c r="B681" s="6" t="s">
        <v>4356</v>
      </c>
      <c r="C681" s="13">
        <v>1592</v>
      </c>
      <c r="D681" s="8" t="s">
        <v>4357</v>
      </c>
      <c r="E681" s="8" t="s">
        <v>4358</v>
      </c>
      <c r="F681" s="8" t="s">
        <v>4359</v>
      </c>
      <c r="G681" s="6" t="s">
        <v>67</v>
      </c>
      <c r="H681" s="6" t="s">
        <v>939</v>
      </c>
      <c r="I681" s="8" t="s">
        <v>54</v>
      </c>
      <c r="J681" s="9">
        <v>1</v>
      </c>
      <c r="K681" s="9">
        <v>264</v>
      </c>
      <c r="L681" s="9">
        <v>2023</v>
      </c>
      <c r="M681" s="8" t="s">
        <v>4360</v>
      </c>
      <c r="N681" s="8" t="s">
        <v>56</v>
      </c>
      <c r="O681" s="8" t="s">
        <v>57</v>
      </c>
      <c r="P681" s="6" t="s">
        <v>42</v>
      </c>
      <c r="Q681" s="8" t="s">
        <v>43</v>
      </c>
      <c r="R681" s="10" t="s">
        <v>4361</v>
      </c>
      <c r="S681" s="11" t="s">
        <v>4362</v>
      </c>
      <c r="T681" s="6"/>
      <c r="U681" s="27" t="str">
        <f>HYPERLINK("https://media.infra-m.ru/2050/2050526/cover/2050526.jpg", "Обложка")</f>
        <v>Обложка</v>
      </c>
      <c r="V681" s="27" t="str">
        <f>HYPERLINK("https://znanium.com/catalog/product/2050526", "Ознакомиться")</f>
        <v>Ознакомиться</v>
      </c>
      <c r="W681" s="8" t="s">
        <v>4363</v>
      </c>
      <c r="X681" s="6"/>
      <c r="Y681" s="6"/>
      <c r="Z681" s="6"/>
      <c r="AA681" s="6" t="s">
        <v>1335</v>
      </c>
    </row>
    <row r="682" spans="1:27" s="4" customFormat="1" ht="51.95" customHeight="1">
      <c r="A682" s="5">
        <v>0</v>
      </c>
      <c r="B682" s="6" t="s">
        <v>4364</v>
      </c>
      <c r="C682" s="7">
        <v>504.9</v>
      </c>
      <c r="D682" s="8" t="s">
        <v>4365</v>
      </c>
      <c r="E682" s="8" t="s">
        <v>4366</v>
      </c>
      <c r="F682" s="8" t="s">
        <v>4367</v>
      </c>
      <c r="G682" s="6" t="s">
        <v>52</v>
      </c>
      <c r="H682" s="6" t="s">
        <v>939</v>
      </c>
      <c r="I682" s="8" t="s">
        <v>165</v>
      </c>
      <c r="J682" s="9">
        <v>1</v>
      </c>
      <c r="K682" s="9">
        <v>112</v>
      </c>
      <c r="L682" s="9">
        <v>2023</v>
      </c>
      <c r="M682" s="8" t="s">
        <v>4368</v>
      </c>
      <c r="N682" s="8" t="s">
        <v>56</v>
      </c>
      <c r="O682" s="8" t="s">
        <v>57</v>
      </c>
      <c r="P682" s="6" t="s">
        <v>783</v>
      </c>
      <c r="Q682" s="8" t="s">
        <v>43</v>
      </c>
      <c r="R682" s="10" t="s">
        <v>4369</v>
      </c>
      <c r="S682" s="11" t="s">
        <v>4370</v>
      </c>
      <c r="T682" s="6"/>
      <c r="U682" s="27" t="str">
        <f>HYPERLINK("https://media.infra-m.ru/2001/2001622/cover/2001622.jpg", "Обложка")</f>
        <v>Обложка</v>
      </c>
      <c r="V682" s="27" t="str">
        <f>HYPERLINK("https://znanium.com/catalog/product/2123407", "Ознакомиться")</f>
        <v>Ознакомиться</v>
      </c>
      <c r="W682" s="8" t="s">
        <v>714</v>
      </c>
      <c r="X682" s="6"/>
      <c r="Y682" s="6"/>
      <c r="Z682" s="6"/>
      <c r="AA682" s="6" t="s">
        <v>288</v>
      </c>
    </row>
    <row r="683" spans="1:27" s="4" customFormat="1" ht="51.95" customHeight="1">
      <c r="A683" s="5">
        <v>0</v>
      </c>
      <c r="B683" s="6" t="s">
        <v>4371</v>
      </c>
      <c r="C683" s="7">
        <v>520</v>
      </c>
      <c r="D683" s="8" t="s">
        <v>4372</v>
      </c>
      <c r="E683" s="8" t="s">
        <v>4366</v>
      </c>
      <c r="F683" s="8" t="s">
        <v>4367</v>
      </c>
      <c r="G683" s="6" t="s">
        <v>52</v>
      </c>
      <c r="H683" s="6" t="s">
        <v>939</v>
      </c>
      <c r="I683" s="8" t="s">
        <v>652</v>
      </c>
      <c r="J683" s="9">
        <v>1</v>
      </c>
      <c r="K683" s="9">
        <v>112</v>
      </c>
      <c r="L683" s="9">
        <v>2023</v>
      </c>
      <c r="M683" s="8" t="s">
        <v>4373</v>
      </c>
      <c r="N683" s="8" t="s">
        <v>56</v>
      </c>
      <c r="O683" s="8" t="s">
        <v>57</v>
      </c>
      <c r="P683" s="6" t="s">
        <v>783</v>
      </c>
      <c r="Q683" s="8" t="s">
        <v>654</v>
      </c>
      <c r="R683" s="10" t="s">
        <v>954</v>
      </c>
      <c r="S683" s="11" t="s">
        <v>1995</v>
      </c>
      <c r="T683" s="6"/>
      <c r="U683" s="27" t="str">
        <f>HYPERLINK("https://media.infra-m.ru/1986/1986564/cover/1986564.jpg", "Обложка")</f>
        <v>Обложка</v>
      </c>
      <c r="V683" s="27" t="str">
        <f>HYPERLINK("https://znanium.com/catalog/product/1986564", "Ознакомиться")</f>
        <v>Ознакомиться</v>
      </c>
      <c r="W683" s="8" t="s">
        <v>714</v>
      </c>
      <c r="X683" s="6"/>
      <c r="Y683" s="6"/>
      <c r="Z683" s="6" t="s">
        <v>657</v>
      </c>
      <c r="AA683" s="6" t="s">
        <v>73</v>
      </c>
    </row>
    <row r="684" spans="1:27" s="4" customFormat="1" ht="42" customHeight="1">
      <c r="A684" s="5">
        <v>0</v>
      </c>
      <c r="B684" s="6" t="s">
        <v>4374</v>
      </c>
      <c r="C684" s="13">
        <v>1174.9000000000001</v>
      </c>
      <c r="D684" s="8" t="s">
        <v>4375</v>
      </c>
      <c r="E684" s="8" t="s">
        <v>4376</v>
      </c>
      <c r="F684" s="8" t="s">
        <v>4377</v>
      </c>
      <c r="G684" s="6" t="s">
        <v>52</v>
      </c>
      <c r="H684" s="6" t="s">
        <v>53</v>
      </c>
      <c r="I684" s="8" t="s">
        <v>114</v>
      </c>
      <c r="J684" s="9">
        <v>1</v>
      </c>
      <c r="K684" s="9">
        <v>262</v>
      </c>
      <c r="L684" s="9">
        <v>2023</v>
      </c>
      <c r="M684" s="8" t="s">
        <v>4378</v>
      </c>
      <c r="N684" s="8" t="s">
        <v>56</v>
      </c>
      <c r="O684" s="8" t="s">
        <v>57</v>
      </c>
      <c r="P684" s="6" t="s">
        <v>116</v>
      </c>
      <c r="Q684" s="8" t="s">
        <v>81</v>
      </c>
      <c r="R684" s="10" t="s">
        <v>4379</v>
      </c>
      <c r="S684" s="11"/>
      <c r="T684" s="6"/>
      <c r="U684" s="27" t="str">
        <f>HYPERLINK("https://media.infra-m.ru/2044/2044323/cover/2044323.jpg", "Обложка")</f>
        <v>Обложка</v>
      </c>
      <c r="V684" s="27" t="str">
        <f>HYPERLINK("https://znanium.com/catalog/product/1058832", "Ознакомиться")</f>
        <v>Ознакомиться</v>
      </c>
      <c r="W684" s="8" t="s">
        <v>1722</v>
      </c>
      <c r="X684" s="6"/>
      <c r="Y684" s="6"/>
      <c r="Z684" s="6"/>
      <c r="AA684" s="6" t="s">
        <v>143</v>
      </c>
    </row>
    <row r="685" spans="1:27" s="4" customFormat="1" ht="51.95" customHeight="1">
      <c r="A685" s="5">
        <v>0</v>
      </c>
      <c r="B685" s="6" t="s">
        <v>4380</v>
      </c>
      <c r="C685" s="13">
        <v>1894.9</v>
      </c>
      <c r="D685" s="8" t="s">
        <v>4381</v>
      </c>
      <c r="E685" s="8" t="s">
        <v>4382</v>
      </c>
      <c r="F685" s="8" t="s">
        <v>2891</v>
      </c>
      <c r="G685" s="6" t="s">
        <v>37</v>
      </c>
      <c r="H685" s="6" t="s">
        <v>53</v>
      </c>
      <c r="I685" s="8" t="s">
        <v>1519</v>
      </c>
      <c r="J685" s="9">
        <v>1</v>
      </c>
      <c r="K685" s="9">
        <v>358</v>
      </c>
      <c r="L685" s="9">
        <v>2023</v>
      </c>
      <c r="M685" s="8" t="s">
        <v>4383</v>
      </c>
      <c r="N685" s="8" t="s">
        <v>56</v>
      </c>
      <c r="O685" s="8" t="s">
        <v>57</v>
      </c>
      <c r="P685" s="6" t="s">
        <v>42</v>
      </c>
      <c r="Q685" s="8" t="s">
        <v>43</v>
      </c>
      <c r="R685" s="10" t="s">
        <v>1521</v>
      </c>
      <c r="S685" s="11"/>
      <c r="T685" s="6" t="s">
        <v>277</v>
      </c>
      <c r="U685" s="27" t="str">
        <f>HYPERLINK("https://media.infra-m.ru/2008/2008790/cover/2008790.jpg", "Обложка")</f>
        <v>Обложка</v>
      </c>
      <c r="V685" s="27" t="str">
        <f>HYPERLINK("https://znanium.com/catalog/product/1008808", "Ознакомиться")</f>
        <v>Ознакомиться</v>
      </c>
      <c r="W685" s="8"/>
      <c r="X685" s="6"/>
      <c r="Y685" s="6"/>
      <c r="Z685" s="6"/>
      <c r="AA685" s="6" t="s">
        <v>417</v>
      </c>
    </row>
    <row r="686" spans="1:27" s="4" customFormat="1" ht="51.95" customHeight="1">
      <c r="A686" s="5">
        <v>0</v>
      </c>
      <c r="B686" s="6" t="s">
        <v>4384</v>
      </c>
      <c r="C686" s="7">
        <v>950</v>
      </c>
      <c r="D686" s="8" t="s">
        <v>4385</v>
      </c>
      <c r="E686" s="8" t="s">
        <v>4386</v>
      </c>
      <c r="F686" s="8" t="s">
        <v>4387</v>
      </c>
      <c r="G686" s="6" t="s">
        <v>67</v>
      </c>
      <c r="H686" s="6" t="s">
        <v>53</v>
      </c>
      <c r="I686" s="8" t="s">
        <v>54</v>
      </c>
      <c r="J686" s="9">
        <v>1</v>
      </c>
      <c r="K686" s="9">
        <v>206</v>
      </c>
      <c r="L686" s="9">
        <v>2024</v>
      </c>
      <c r="M686" s="8" t="s">
        <v>4388</v>
      </c>
      <c r="N686" s="8" t="s">
        <v>56</v>
      </c>
      <c r="O686" s="8" t="s">
        <v>57</v>
      </c>
      <c r="P686" s="6" t="s">
        <v>42</v>
      </c>
      <c r="Q686" s="8" t="s">
        <v>43</v>
      </c>
      <c r="R686" s="10" t="s">
        <v>4389</v>
      </c>
      <c r="S686" s="11" t="s">
        <v>4390</v>
      </c>
      <c r="T686" s="6" t="s">
        <v>277</v>
      </c>
      <c r="U686" s="27" t="str">
        <f>HYPERLINK("https://media.infra-m.ru/2084/2084472/cover/2084472.jpg", "Обложка")</f>
        <v>Обложка</v>
      </c>
      <c r="V686" s="27" t="str">
        <f>HYPERLINK("https://znanium.com/catalog/product/2084472", "Ознакомиться")</f>
        <v>Ознакомиться</v>
      </c>
      <c r="W686" s="8" t="s">
        <v>118</v>
      </c>
      <c r="X686" s="6"/>
      <c r="Y686" s="6"/>
      <c r="Z686" s="6"/>
      <c r="AA686" s="6" t="s">
        <v>143</v>
      </c>
    </row>
    <row r="687" spans="1:27" s="4" customFormat="1" ht="51.95" customHeight="1">
      <c r="A687" s="5">
        <v>0</v>
      </c>
      <c r="B687" s="6" t="s">
        <v>4391</v>
      </c>
      <c r="C687" s="7">
        <v>624.9</v>
      </c>
      <c r="D687" s="8" t="s">
        <v>4392</v>
      </c>
      <c r="E687" s="8" t="s">
        <v>4393</v>
      </c>
      <c r="F687" s="8" t="s">
        <v>4394</v>
      </c>
      <c r="G687" s="6" t="s">
        <v>52</v>
      </c>
      <c r="H687" s="6" t="s">
        <v>53</v>
      </c>
      <c r="I687" s="8" t="s">
        <v>165</v>
      </c>
      <c r="J687" s="9">
        <v>1</v>
      </c>
      <c r="K687" s="9">
        <v>182</v>
      </c>
      <c r="L687" s="9">
        <v>2020</v>
      </c>
      <c r="M687" s="8" t="s">
        <v>4395</v>
      </c>
      <c r="N687" s="8" t="s">
        <v>56</v>
      </c>
      <c r="O687" s="8" t="s">
        <v>57</v>
      </c>
      <c r="P687" s="6" t="s">
        <v>42</v>
      </c>
      <c r="Q687" s="8" t="s">
        <v>43</v>
      </c>
      <c r="R687" s="10" t="s">
        <v>4396</v>
      </c>
      <c r="S687" s="11" t="s">
        <v>4397</v>
      </c>
      <c r="T687" s="6"/>
      <c r="U687" s="27" t="str">
        <f>HYPERLINK("https://media.infra-m.ru/0509/0509684/cover/509684.jpg", "Обложка")</f>
        <v>Обложка</v>
      </c>
      <c r="V687" s="27" t="str">
        <f>HYPERLINK("https://znanium.com/catalog/product/437954", "Ознакомиться")</f>
        <v>Ознакомиться</v>
      </c>
      <c r="W687" s="8" t="s">
        <v>287</v>
      </c>
      <c r="X687" s="6"/>
      <c r="Y687" s="6"/>
      <c r="Z687" s="6"/>
      <c r="AA687" s="6" t="s">
        <v>47</v>
      </c>
    </row>
    <row r="688" spans="1:27" s="4" customFormat="1" ht="51.95" customHeight="1">
      <c r="A688" s="5">
        <v>0</v>
      </c>
      <c r="B688" s="6" t="s">
        <v>4398</v>
      </c>
      <c r="C688" s="13">
        <v>1054.9000000000001</v>
      </c>
      <c r="D688" s="8" t="s">
        <v>4399</v>
      </c>
      <c r="E688" s="8" t="s">
        <v>4400</v>
      </c>
      <c r="F688" s="8" t="s">
        <v>4401</v>
      </c>
      <c r="G688" s="6" t="s">
        <v>52</v>
      </c>
      <c r="H688" s="6" t="s">
        <v>53</v>
      </c>
      <c r="I688" s="8" t="s">
        <v>114</v>
      </c>
      <c r="J688" s="9">
        <v>1</v>
      </c>
      <c r="K688" s="9">
        <v>234</v>
      </c>
      <c r="L688" s="9">
        <v>2023</v>
      </c>
      <c r="M688" s="8" t="s">
        <v>4402</v>
      </c>
      <c r="N688" s="8" t="s">
        <v>56</v>
      </c>
      <c r="O688" s="8" t="s">
        <v>57</v>
      </c>
      <c r="P688" s="6" t="s">
        <v>116</v>
      </c>
      <c r="Q688" s="8" t="s">
        <v>81</v>
      </c>
      <c r="R688" s="10" t="s">
        <v>4403</v>
      </c>
      <c r="S688" s="11"/>
      <c r="T688" s="6"/>
      <c r="U688" s="27" t="str">
        <f>HYPERLINK("https://media.infra-m.ru/1981/1981630/cover/1981630.jpg", "Обложка")</f>
        <v>Обложка</v>
      </c>
      <c r="V688" s="27" t="str">
        <f>HYPERLINK("https://znanium.com/catalog/product/1013440", "Ознакомиться")</f>
        <v>Ознакомиться</v>
      </c>
      <c r="W688" s="8" t="s">
        <v>287</v>
      </c>
      <c r="X688" s="6"/>
      <c r="Y688" s="6"/>
      <c r="Z688" s="6"/>
      <c r="AA688" s="6" t="s">
        <v>795</v>
      </c>
    </row>
    <row r="689" spans="1:27" s="4" customFormat="1" ht="44.1" customHeight="1">
      <c r="A689" s="5">
        <v>0</v>
      </c>
      <c r="B689" s="6" t="s">
        <v>4404</v>
      </c>
      <c r="C689" s="7">
        <v>924</v>
      </c>
      <c r="D689" s="8" t="s">
        <v>4405</v>
      </c>
      <c r="E689" s="8" t="s">
        <v>4406</v>
      </c>
      <c r="F689" s="8" t="s">
        <v>4407</v>
      </c>
      <c r="G689" s="6" t="s">
        <v>37</v>
      </c>
      <c r="H689" s="6" t="s">
        <v>53</v>
      </c>
      <c r="I689" s="8" t="s">
        <v>148</v>
      </c>
      <c r="J689" s="9">
        <v>1</v>
      </c>
      <c r="K689" s="9">
        <v>200</v>
      </c>
      <c r="L689" s="9">
        <v>2024</v>
      </c>
      <c r="M689" s="8" t="s">
        <v>4408</v>
      </c>
      <c r="N689" s="8" t="s">
        <v>56</v>
      </c>
      <c r="O689" s="8" t="s">
        <v>57</v>
      </c>
      <c r="P689" s="6" t="s">
        <v>42</v>
      </c>
      <c r="Q689" s="8" t="s">
        <v>150</v>
      </c>
      <c r="R689" s="10" t="s">
        <v>4409</v>
      </c>
      <c r="S689" s="11"/>
      <c r="T689" s="6"/>
      <c r="U689" s="27" t="str">
        <f>HYPERLINK("https://media.infra-m.ru/2103/2103736/cover/2103736.jpg", "Обложка")</f>
        <v>Обложка</v>
      </c>
      <c r="V689" s="27" t="str">
        <f>HYPERLINK("https://znanium.com/catalog/product/1039243", "Ознакомиться")</f>
        <v>Ознакомиться</v>
      </c>
      <c r="W689" s="8"/>
      <c r="X689" s="6"/>
      <c r="Y689" s="6"/>
      <c r="Z689" s="6"/>
      <c r="AA689" s="6" t="s">
        <v>496</v>
      </c>
    </row>
    <row r="690" spans="1:27" s="4" customFormat="1" ht="44.1" customHeight="1">
      <c r="A690" s="5">
        <v>0</v>
      </c>
      <c r="B690" s="6" t="s">
        <v>4410</v>
      </c>
      <c r="C690" s="7">
        <v>710</v>
      </c>
      <c r="D690" s="8" t="s">
        <v>4411</v>
      </c>
      <c r="E690" s="8" t="s">
        <v>4412</v>
      </c>
      <c r="F690" s="8" t="s">
        <v>4413</v>
      </c>
      <c r="G690" s="6" t="s">
        <v>52</v>
      </c>
      <c r="H690" s="6" t="s">
        <v>98</v>
      </c>
      <c r="I690" s="8" t="s">
        <v>114</v>
      </c>
      <c r="J690" s="9">
        <v>1</v>
      </c>
      <c r="K690" s="9">
        <v>156</v>
      </c>
      <c r="L690" s="9">
        <v>2019</v>
      </c>
      <c r="M690" s="8" t="s">
        <v>4414</v>
      </c>
      <c r="N690" s="8" t="s">
        <v>56</v>
      </c>
      <c r="O690" s="8" t="s">
        <v>57</v>
      </c>
      <c r="P690" s="6" t="s">
        <v>116</v>
      </c>
      <c r="Q690" s="8" t="s">
        <v>81</v>
      </c>
      <c r="R690" s="10" t="s">
        <v>4415</v>
      </c>
      <c r="S690" s="11"/>
      <c r="T690" s="6"/>
      <c r="U690" s="27" t="str">
        <f>HYPERLINK("https://media.infra-m.ru/1949/1949120/cover/1949120.jpg", "Обложка")</f>
        <v>Обложка</v>
      </c>
      <c r="V690" s="27" t="str">
        <f>HYPERLINK("https://znanium.com/catalog/product/1013469", "Ознакомиться")</f>
        <v>Ознакомиться</v>
      </c>
      <c r="W690" s="8" t="s">
        <v>351</v>
      </c>
      <c r="X690" s="6"/>
      <c r="Y690" s="6"/>
      <c r="Z690" s="6"/>
      <c r="AA690" s="6" t="s">
        <v>47</v>
      </c>
    </row>
    <row r="691" spans="1:27" s="4" customFormat="1" ht="44.1" customHeight="1">
      <c r="A691" s="5">
        <v>0</v>
      </c>
      <c r="B691" s="6" t="s">
        <v>4416</v>
      </c>
      <c r="C691" s="13">
        <v>1844</v>
      </c>
      <c r="D691" s="8" t="s">
        <v>4417</v>
      </c>
      <c r="E691" s="8" t="s">
        <v>4418</v>
      </c>
      <c r="F691" s="8" t="s">
        <v>4419</v>
      </c>
      <c r="G691" s="6" t="s">
        <v>67</v>
      </c>
      <c r="H691" s="6" t="s">
        <v>53</v>
      </c>
      <c r="I691" s="8" t="s">
        <v>114</v>
      </c>
      <c r="J691" s="9">
        <v>1</v>
      </c>
      <c r="K691" s="9">
        <v>400</v>
      </c>
      <c r="L691" s="9">
        <v>2024</v>
      </c>
      <c r="M691" s="8" t="s">
        <v>4420</v>
      </c>
      <c r="N691" s="8" t="s">
        <v>56</v>
      </c>
      <c r="O691" s="8" t="s">
        <v>57</v>
      </c>
      <c r="P691" s="6" t="s">
        <v>116</v>
      </c>
      <c r="Q691" s="8" t="s">
        <v>785</v>
      </c>
      <c r="R691" s="10" t="s">
        <v>4421</v>
      </c>
      <c r="S691" s="11"/>
      <c r="T691" s="6"/>
      <c r="U691" s="27" t="str">
        <f>HYPERLINK("https://media.infra-m.ru/2080/2080500/cover/2080500.jpg", "Обложка")</f>
        <v>Обложка</v>
      </c>
      <c r="V691" s="27" t="str">
        <f>HYPERLINK("https://znanium.com/catalog/product/1362602", "Ознакомиться")</f>
        <v>Ознакомиться</v>
      </c>
      <c r="W691" s="8" t="s">
        <v>3274</v>
      </c>
      <c r="X691" s="6"/>
      <c r="Y691" s="6"/>
      <c r="Z691" s="6"/>
      <c r="AA691" s="6" t="s">
        <v>84</v>
      </c>
    </row>
    <row r="692" spans="1:27" s="4" customFormat="1" ht="51.95" customHeight="1">
      <c r="A692" s="5">
        <v>0</v>
      </c>
      <c r="B692" s="6" t="s">
        <v>4422</v>
      </c>
      <c r="C692" s="13">
        <v>1214.9000000000001</v>
      </c>
      <c r="D692" s="8" t="s">
        <v>4423</v>
      </c>
      <c r="E692" s="8" t="s">
        <v>4424</v>
      </c>
      <c r="F692" s="8" t="s">
        <v>4425</v>
      </c>
      <c r="G692" s="6" t="s">
        <v>37</v>
      </c>
      <c r="H692" s="6" t="s">
        <v>53</v>
      </c>
      <c r="I692" s="8" t="s">
        <v>459</v>
      </c>
      <c r="J692" s="9">
        <v>1</v>
      </c>
      <c r="K692" s="9">
        <v>416</v>
      </c>
      <c r="L692" s="9">
        <v>2018</v>
      </c>
      <c r="M692" s="8" t="s">
        <v>4426</v>
      </c>
      <c r="N692" s="8" t="s">
        <v>56</v>
      </c>
      <c r="O692" s="8" t="s">
        <v>57</v>
      </c>
      <c r="P692" s="6" t="s">
        <v>69</v>
      </c>
      <c r="Q692" s="8" t="s">
        <v>81</v>
      </c>
      <c r="R692" s="10" t="s">
        <v>132</v>
      </c>
      <c r="S692" s="11" t="s">
        <v>4427</v>
      </c>
      <c r="T692" s="6"/>
      <c r="U692" s="12"/>
      <c r="V692" s="27" t="str">
        <f>HYPERLINK("https://znanium.com/catalog/product/2076015", "Ознакомиться")</f>
        <v>Ознакомиться</v>
      </c>
      <c r="W692" s="8" t="s">
        <v>287</v>
      </c>
      <c r="X692" s="6"/>
      <c r="Y692" s="6"/>
      <c r="Z692" s="6"/>
      <c r="AA692" s="6" t="s">
        <v>715</v>
      </c>
    </row>
    <row r="693" spans="1:27" s="4" customFormat="1" ht="51.95" customHeight="1">
      <c r="A693" s="5">
        <v>0</v>
      </c>
      <c r="B693" s="6" t="s">
        <v>4428</v>
      </c>
      <c r="C693" s="13">
        <v>1950</v>
      </c>
      <c r="D693" s="8" t="s">
        <v>4429</v>
      </c>
      <c r="E693" s="8" t="s">
        <v>4430</v>
      </c>
      <c r="F693" s="8" t="s">
        <v>4431</v>
      </c>
      <c r="G693" s="6" t="s">
        <v>37</v>
      </c>
      <c r="H693" s="6" t="s">
        <v>53</v>
      </c>
      <c r="I693" s="8" t="s">
        <v>459</v>
      </c>
      <c r="J693" s="9">
        <v>1</v>
      </c>
      <c r="K693" s="9">
        <v>426</v>
      </c>
      <c r="L693" s="9">
        <v>2024</v>
      </c>
      <c r="M693" s="8" t="s">
        <v>4432</v>
      </c>
      <c r="N693" s="8" t="s">
        <v>56</v>
      </c>
      <c r="O693" s="8" t="s">
        <v>57</v>
      </c>
      <c r="P693" s="6" t="s">
        <v>69</v>
      </c>
      <c r="Q693" s="8" t="s">
        <v>81</v>
      </c>
      <c r="R693" s="10" t="s">
        <v>132</v>
      </c>
      <c r="S693" s="11" t="s">
        <v>4427</v>
      </c>
      <c r="T693" s="6" t="s">
        <v>277</v>
      </c>
      <c r="U693" s="27" t="str">
        <f>HYPERLINK("https://media.infra-m.ru/2076/2076015/cover/2076015.jpg", "Обложка")</f>
        <v>Обложка</v>
      </c>
      <c r="V693" s="27" t="str">
        <f>HYPERLINK("https://znanium.com/catalog/product/2076015", "Ознакомиться")</f>
        <v>Ознакомиться</v>
      </c>
      <c r="W693" s="8" t="s">
        <v>287</v>
      </c>
      <c r="X693" s="6"/>
      <c r="Y693" s="6"/>
      <c r="Z693" s="6"/>
      <c r="AA693" s="6" t="s">
        <v>4018</v>
      </c>
    </row>
    <row r="694" spans="1:27" s="4" customFormat="1" ht="51.95" customHeight="1">
      <c r="A694" s="5">
        <v>0</v>
      </c>
      <c r="B694" s="6" t="s">
        <v>4433</v>
      </c>
      <c r="C694" s="13">
        <v>1614</v>
      </c>
      <c r="D694" s="8" t="s">
        <v>4434</v>
      </c>
      <c r="E694" s="8" t="s">
        <v>4435</v>
      </c>
      <c r="F694" s="8" t="s">
        <v>4436</v>
      </c>
      <c r="G694" s="6" t="s">
        <v>37</v>
      </c>
      <c r="H694" s="6" t="s">
        <v>104</v>
      </c>
      <c r="I694" s="8" t="s">
        <v>377</v>
      </c>
      <c r="J694" s="9">
        <v>1</v>
      </c>
      <c r="K694" s="9">
        <v>352</v>
      </c>
      <c r="L694" s="9">
        <v>2024</v>
      </c>
      <c r="M694" s="8" t="s">
        <v>4437</v>
      </c>
      <c r="N694" s="8" t="s">
        <v>56</v>
      </c>
      <c r="O694" s="8" t="s">
        <v>57</v>
      </c>
      <c r="P694" s="6" t="s">
        <v>69</v>
      </c>
      <c r="Q694" s="8" t="s">
        <v>43</v>
      </c>
      <c r="R694" s="10" t="s">
        <v>2910</v>
      </c>
      <c r="S694" s="11" t="s">
        <v>4438</v>
      </c>
      <c r="T694" s="6"/>
      <c r="U694" s="27" t="str">
        <f>HYPERLINK("https://media.infra-m.ru/2086/2086857/cover/2086857.jpg", "Обложка")</f>
        <v>Обложка</v>
      </c>
      <c r="V694" s="27" t="str">
        <f>HYPERLINK("https://znanium.com/catalog/product/1846717", "Ознакомиться")</f>
        <v>Ознакомиться</v>
      </c>
      <c r="W694" s="8" t="s">
        <v>4439</v>
      </c>
      <c r="X694" s="6"/>
      <c r="Y694" s="6"/>
      <c r="Z694" s="6"/>
      <c r="AA694" s="6" t="s">
        <v>47</v>
      </c>
    </row>
    <row r="695" spans="1:27" s="4" customFormat="1" ht="51.95" customHeight="1">
      <c r="A695" s="5">
        <v>0</v>
      </c>
      <c r="B695" s="6" t="s">
        <v>4440</v>
      </c>
      <c r="C695" s="7">
        <v>844</v>
      </c>
      <c r="D695" s="8" t="s">
        <v>4441</v>
      </c>
      <c r="E695" s="8" t="s">
        <v>4442</v>
      </c>
      <c r="F695" s="8" t="s">
        <v>4443</v>
      </c>
      <c r="G695" s="6" t="s">
        <v>67</v>
      </c>
      <c r="H695" s="6" t="s">
        <v>53</v>
      </c>
      <c r="I695" s="8" t="s">
        <v>436</v>
      </c>
      <c r="J695" s="9">
        <v>1</v>
      </c>
      <c r="K695" s="9">
        <v>186</v>
      </c>
      <c r="L695" s="9">
        <v>2023</v>
      </c>
      <c r="M695" s="8" t="s">
        <v>4444</v>
      </c>
      <c r="N695" s="8" t="s">
        <v>56</v>
      </c>
      <c r="O695" s="8" t="s">
        <v>57</v>
      </c>
      <c r="P695" s="6" t="s">
        <v>42</v>
      </c>
      <c r="Q695" s="8" t="s">
        <v>43</v>
      </c>
      <c r="R695" s="10" t="s">
        <v>275</v>
      </c>
      <c r="S695" s="11" t="s">
        <v>4445</v>
      </c>
      <c r="T695" s="6"/>
      <c r="U695" s="27" t="str">
        <f>HYPERLINK("https://media.infra-m.ru/2021/2021447/cover/2021447.jpg", "Обложка")</f>
        <v>Обложка</v>
      </c>
      <c r="V695" s="27" t="str">
        <f>HYPERLINK("https://znanium.com/catalog/product/1206073", "Ознакомиться")</f>
        <v>Ознакомиться</v>
      </c>
      <c r="W695" s="8" t="s">
        <v>46</v>
      </c>
      <c r="X695" s="6"/>
      <c r="Y695" s="6"/>
      <c r="Z695" s="6"/>
      <c r="AA695" s="6" t="s">
        <v>601</v>
      </c>
    </row>
    <row r="696" spans="1:27" s="4" customFormat="1" ht="51.95" customHeight="1">
      <c r="A696" s="5">
        <v>0</v>
      </c>
      <c r="B696" s="6" t="s">
        <v>4446</v>
      </c>
      <c r="C696" s="13">
        <v>1144.9000000000001</v>
      </c>
      <c r="D696" s="8" t="s">
        <v>4447</v>
      </c>
      <c r="E696" s="8" t="s">
        <v>4448</v>
      </c>
      <c r="F696" s="8" t="s">
        <v>4449</v>
      </c>
      <c r="G696" s="6" t="s">
        <v>37</v>
      </c>
      <c r="H696" s="6" t="s">
        <v>53</v>
      </c>
      <c r="I696" s="8" t="s">
        <v>165</v>
      </c>
      <c r="J696" s="9">
        <v>1</v>
      </c>
      <c r="K696" s="9">
        <v>300</v>
      </c>
      <c r="L696" s="9">
        <v>2022</v>
      </c>
      <c r="M696" s="8" t="s">
        <v>4450</v>
      </c>
      <c r="N696" s="8" t="s">
        <v>56</v>
      </c>
      <c r="O696" s="8" t="s">
        <v>57</v>
      </c>
      <c r="P696" s="6" t="s">
        <v>69</v>
      </c>
      <c r="Q696" s="8" t="s">
        <v>43</v>
      </c>
      <c r="R696" s="10" t="s">
        <v>811</v>
      </c>
      <c r="S696" s="11" t="s">
        <v>4246</v>
      </c>
      <c r="T696" s="6" t="s">
        <v>277</v>
      </c>
      <c r="U696" s="27" t="str">
        <f>HYPERLINK("https://media.infra-m.ru/1836/1836610/cover/1836610.jpg", "Обложка")</f>
        <v>Обложка</v>
      </c>
      <c r="V696" s="27" t="str">
        <f>HYPERLINK("https://znanium.com/catalog/product/1836610", "Ознакомиться")</f>
        <v>Ознакомиться</v>
      </c>
      <c r="W696" s="8" t="s">
        <v>134</v>
      </c>
      <c r="X696" s="6"/>
      <c r="Y696" s="6"/>
      <c r="Z696" s="6"/>
      <c r="AA696" s="6" t="s">
        <v>301</v>
      </c>
    </row>
    <row r="697" spans="1:27" s="4" customFormat="1" ht="51.95" customHeight="1">
      <c r="A697" s="5">
        <v>0</v>
      </c>
      <c r="B697" s="6" t="s">
        <v>4451</v>
      </c>
      <c r="C697" s="7">
        <v>600</v>
      </c>
      <c r="D697" s="8" t="s">
        <v>4452</v>
      </c>
      <c r="E697" s="8" t="s">
        <v>4453</v>
      </c>
      <c r="F697" s="8" t="s">
        <v>4454</v>
      </c>
      <c r="G697" s="6" t="s">
        <v>52</v>
      </c>
      <c r="H697" s="6" t="s">
        <v>53</v>
      </c>
      <c r="I697" s="8" t="s">
        <v>114</v>
      </c>
      <c r="J697" s="9">
        <v>1</v>
      </c>
      <c r="K697" s="9">
        <v>157</v>
      </c>
      <c r="L697" s="9">
        <v>2022</v>
      </c>
      <c r="M697" s="8" t="s">
        <v>4455</v>
      </c>
      <c r="N697" s="8" t="s">
        <v>56</v>
      </c>
      <c r="O697" s="8" t="s">
        <v>57</v>
      </c>
      <c r="P697" s="6" t="s">
        <v>116</v>
      </c>
      <c r="Q697" s="8" t="s">
        <v>81</v>
      </c>
      <c r="R697" s="10" t="s">
        <v>624</v>
      </c>
      <c r="S697" s="11"/>
      <c r="T697" s="6"/>
      <c r="U697" s="27" t="str">
        <f>HYPERLINK("https://media.infra-m.ru/1850/1850123/cover/1850123.jpg", "Обложка")</f>
        <v>Обложка</v>
      </c>
      <c r="V697" s="27" t="str">
        <f>HYPERLINK("https://znanium.com/catalog/product/1850123", "Ознакомиться")</f>
        <v>Ознакомиться</v>
      </c>
      <c r="W697" s="8" t="s">
        <v>287</v>
      </c>
      <c r="X697" s="6"/>
      <c r="Y697" s="6"/>
      <c r="Z697" s="6"/>
      <c r="AA697" s="6" t="s">
        <v>84</v>
      </c>
    </row>
    <row r="698" spans="1:27" s="4" customFormat="1" ht="51.95" customHeight="1">
      <c r="A698" s="5">
        <v>0</v>
      </c>
      <c r="B698" s="6" t="s">
        <v>4456</v>
      </c>
      <c r="C698" s="13">
        <v>1990</v>
      </c>
      <c r="D698" s="8" t="s">
        <v>4457</v>
      </c>
      <c r="E698" s="8" t="s">
        <v>4458</v>
      </c>
      <c r="F698" s="8" t="s">
        <v>4459</v>
      </c>
      <c r="G698" s="6" t="s">
        <v>37</v>
      </c>
      <c r="H698" s="6" t="s">
        <v>53</v>
      </c>
      <c r="I698" s="8" t="s">
        <v>54</v>
      </c>
      <c r="J698" s="9">
        <v>1</v>
      </c>
      <c r="K698" s="9">
        <v>402</v>
      </c>
      <c r="L698" s="9">
        <v>2024</v>
      </c>
      <c r="M698" s="8" t="s">
        <v>4460</v>
      </c>
      <c r="N698" s="8" t="s">
        <v>56</v>
      </c>
      <c r="O698" s="8" t="s">
        <v>57</v>
      </c>
      <c r="P698" s="6" t="s">
        <v>69</v>
      </c>
      <c r="Q698" s="8" t="s">
        <v>43</v>
      </c>
      <c r="R698" s="10" t="s">
        <v>4461</v>
      </c>
      <c r="S698" s="11" t="s">
        <v>4462</v>
      </c>
      <c r="T698" s="6"/>
      <c r="U698" s="27" t="str">
        <f>HYPERLINK("https://media.infra-m.ru/2081/2081761/cover/2081761.jpg", "Обложка")</f>
        <v>Обложка</v>
      </c>
      <c r="V698" s="27" t="str">
        <f>HYPERLINK("https://znanium.com/catalog/product/2081761", "Ознакомиться")</f>
        <v>Ознакомиться</v>
      </c>
      <c r="W698" s="8" t="s">
        <v>91</v>
      </c>
      <c r="X698" s="6"/>
      <c r="Y698" s="6"/>
      <c r="Z698" s="6"/>
      <c r="AA698" s="6" t="s">
        <v>93</v>
      </c>
    </row>
    <row r="699" spans="1:27" s="4" customFormat="1" ht="51.95" customHeight="1">
      <c r="A699" s="5">
        <v>0</v>
      </c>
      <c r="B699" s="6" t="s">
        <v>4463</v>
      </c>
      <c r="C699" s="13">
        <v>1980</v>
      </c>
      <c r="D699" s="8" t="s">
        <v>4464</v>
      </c>
      <c r="E699" s="8" t="s">
        <v>4465</v>
      </c>
      <c r="F699" s="8" t="s">
        <v>4466</v>
      </c>
      <c r="G699" s="6" t="s">
        <v>37</v>
      </c>
      <c r="H699" s="6" t="s">
        <v>53</v>
      </c>
      <c r="I699" s="8" t="s">
        <v>54</v>
      </c>
      <c r="J699" s="9">
        <v>1</v>
      </c>
      <c r="K699" s="9">
        <v>430</v>
      </c>
      <c r="L699" s="9">
        <v>2024</v>
      </c>
      <c r="M699" s="8" t="s">
        <v>4467</v>
      </c>
      <c r="N699" s="8" t="s">
        <v>56</v>
      </c>
      <c r="O699" s="8" t="s">
        <v>57</v>
      </c>
      <c r="P699" s="6" t="s">
        <v>69</v>
      </c>
      <c r="Q699" s="8" t="s">
        <v>43</v>
      </c>
      <c r="R699" s="10" t="s">
        <v>4468</v>
      </c>
      <c r="S699" s="11" t="s">
        <v>3354</v>
      </c>
      <c r="T699" s="6"/>
      <c r="U699" s="27" t="str">
        <f>HYPERLINK("https://media.infra-m.ru/2019/2019755/cover/2019755.jpg", "Обложка")</f>
        <v>Обложка</v>
      </c>
      <c r="V699" s="27" t="str">
        <f>HYPERLINK("https://znanium.com/catalog/product/2019755", "Ознакомиться")</f>
        <v>Ознакомиться</v>
      </c>
      <c r="W699" s="8" t="s">
        <v>91</v>
      </c>
      <c r="X699" s="6"/>
      <c r="Y699" s="6"/>
      <c r="Z699" s="6"/>
      <c r="AA699" s="6" t="s">
        <v>1306</v>
      </c>
    </row>
    <row r="700" spans="1:27" s="4" customFormat="1" ht="51.95" customHeight="1">
      <c r="A700" s="5">
        <v>0</v>
      </c>
      <c r="B700" s="6" t="s">
        <v>4469</v>
      </c>
      <c r="C700" s="13">
        <v>1440</v>
      </c>
      <c r="D700" s="8" t="s">
        <v>4470</v>
      </c>
      <c r="E700" s="8" t="s">
        <v>4471</v>
      </c>
      <c r="F700" s="8" t="s">
        <v>4472</v>
      </c>
      <c r="G700" s="6" t="s">
        <v>67</v>
      </c>
      <c r="H700" s="6" t="s">
        <v>53</v>
      </c>
      <c r="I700" s="8" t="s">
        <v>165</v>
      </c>
      <c r="J700" s="9">
        <v>1</v>
      </c>
      <c r="K700" s="9">
        <v>319</v>
      </c>
      <c r="L700" s="9">
        <v>2023</v>
      </c>
      <c r="M700" s="8" t="s">
        <v>4473</v>
      </c>
      <c r="N700" s="8" t="s">
        <v>56</v>
      </c>
      <c r="O700" s="8" t="s">
        <v>57</v>
      </c>
      <c r="P700" s="6" t="s">
        <v>1000</v>
      </c>
      <c r="Q700" s="8" t="s">
        <v>43</v>
      </c>
      <c r="R700" s="10" t="s">
        <v>275</v>
      </c>
      <c r="S700" s="11" t="s">
        <v>4474</v>
      </c>
      <c r="T700" s="6"/>
      <c r="U700" s="27" t="str">
        <f>HYPERLINK("https://media.infra-m.ru/1930/1930714/cover/1930714.jpg", "Обложка")</f>
        <v>Обложка</v>
      </c>
      <c r="V700" s="27" t="str">
        <f>HYPERLINK("https://znanium.com/catalog/product/1052242", "Ознакомиться")</f>
        <v>Ознакомиться</v>
      </c>
      <c r="W700" s="8" t="s">
        <v>134</v>
      </c>
      <c r="X700" s="6"/>
      <c r="Y700" s="6"/>
      <c r="Z700" s="6"/>
      <c r="AA700" s="6" t="s">
        <v>279</v>
      </c>
    </row>
    <row r="701" spans="1:27" s="4" customFormat="1" ht="51.95" customHeight="1">
      <c r="A701" s="5">
        <v>0</v>
      </c>
      <c r="B701" s="6" t="s">
        <v>4475</v>
      </c>
      <c r="C701" s="13">
        <v>1040</v>
      </c>
      <c r="D701" s="8" t="s">
        <v>4476</v>
      </c>
      <c r="E701" s="8" t="s">
        <v>4477</v>
      </c>
      <c r="F701" s="8" t="s">
        <v>4478</v>
      </c>
      <c r="G701" s="6" t="s">
        <v>67</v>
      </c>
      <c r="H701" s="6" t="s">
        <v>53</v>
      </c>
      <c r="I701" s="8" t="s">
        <v>1168</v>
      </c>
      <c r="J701" s="9">
        <v>1</v>
      </c>
      <c r="K701" s="9">
        <v>230</v>
      </c>
      <c r="L701" s="9">
        <v>2023</v>
      </c>
      <c r="M701" s="8" t="s">
        <v>4479</v>
      </c>
      <c r="N701" s="8" t="s">
        <v>56</v>
      </c>
      <c r="O701" s="8" t="s">
        <v>57</v>
      </c>
      <c r="P701" s="6" t="s">
        <v>42</v>
      </c>
      <c r="Q701" s="8" t="s">
        <v>43</v>
      </c>
      <c r="R701" s="10" t="s">
        <v>4480</v>
      </c>
      <c r="S701" s="11" t="s">
        <v>4481</v>
      </c>
      <c r="T701" s="6"/>
      <c r="U701" s="27" t="str">
        <f>HYPERLINK("https://media.infra-m.ru/1930/1930689/cover/1930689.jpg", "Обложка")</f>
        <v>Обложка</v>
      </c>
      <c r="V701" s="12"/>
      <c r="W701" s="8" t="s">
        <v>524</v>
      </c>
      <c r="X701" s="6"/>
      <c r="Y701" s="6"/>
      <c r="Z701" s="6"/>
      <c r="AA701" s="6" t="s">
        <v>73</v>
      </c>
    </row>
    <row r="702" spans="1:27" s="4" customFormat="1" ht="51.95" customHeight="1">
      <c r="A702" s="5">
        <v>0</v>
      </c>
      <c r="B702" s="6" t="s">
        <v>4482</v>
      </c>
      <c r="C702" s="7">
        <v>884.9</v>
      </c>
      <c r="D702" s="8" t="s">
        <v>4483</v>
      </c>
      <c r="E702" s="8" t="s">
        <v>4484</v>
      </c>
      <c r="F702" s="8" t="s">
        <v>4485</v>
      </c>
      <c r="G702" s="6" t="s">
        <v>37</v>
      </c>
      <c r="H702" s="6" t="s">
        <v>53</v>
      </c>
      <c r="I702" s="8" t="s">
        <v>165</v>
      </c>
      <c r="J702" s="9">
        <v>1</v>
      </c>
      <c r="K702" s="9">
        <v>197</v>
      </c>
      <c r="L702" s="9">
        <v>2023</v>
      </c>
      <c r="M702" s="8" t="s">
        <v>4486</v>
      </c>
      <c r="N702" s="8" t="s">
        <v>56</v>
      </c>
      <c r="O702" s="8" t="s">
        <v>57</v>
      </c>
      <c r="P702" s="6" t="s">
        <v>42</v>
      </c>
      <c r="Q702" s="8" t="s">
        <v>43</v>
      </c>
      <c r="R702" s="10" t="s">
        <v>4487</v>
      </c>
      <c r="S702" s="11" t="s">
        <v>4488</v>
      </c>
      <c r="T702" s="6"/>
      <c r="U702" s="27" t="str">
        <f>HYPERLINK("https://media.infra-m.ru/1981/1981629/cover/1981629.jpg", "Обложка")</f>
        <v>Обложка</v>
      </c>
      <c r="V702" s="27" t="str">
        <f>HYPERLINK("https://znanium.com/catalog/product/1222435", "Ознакомиться")</f>
        <v>Ознакомиться</v>
      </c>
      <c r="W702" s="8" t="s">
        <v>4489</v>
      </c>
      <c r="X702" s="6"/>
      <c r="Y702" s="6"/>
      <c r="Z702" s="6"/>
      <c r="AA702" s="6" t="s">
        <v>47</v>
      </c>
    </row>
    <row r="703" spans="1:27" s="4" customFormat="1" ht="44.1" customHeight="1">
      <c r="A703" s="5">
        <v>0</v>
      </c>
      <c r="B703" s="6" t="s">
        <v>4490</v>
      </c>
      <c r="C703" s="13">
        <v>1364.9</v>
      </c>
      <c r="D703" s="8" t="s">
        <v>4491</v>
      </c>
      <c r="E703" s="8" t="s">
        <v>4492</v>
      </c>
      <c r="F703" s="8" t="s">
        <v>4493</v>
      </c>
      <c r="G703" s="6" t="s">
        <v>37</v>
      </c>
      <c r="H703" s="6" t="s">
        <v>53</v>
      </c>
      <c r="I703" s="8" t="s">
        <v>114</v>
      </c>
      <c r="J703" s="9">
        <v>1</v>
      </c>
      <c r="K703" s="9">
        <v>304</v>
      </c>
      <c r="L703" s="9">
        <v>2023</v>
      </c>
      <c r="M703" s="8" t="s">
        <v>4494</v>
      </c>
      <c r="N703" s="8" t="s">
        <v>56</v>
      </c>
      <c r="O703" s="8" t="s">
        <v>57</v>
      </c>
      <c r="P703" s="6" t="s">
        <v>116</v>
      </c>
      <c r="Q703" s="8" t="s">
        <v>81</v>
      </c>
      <c r="R703" s="10" t="s">
        <v>4495</v>
      </c>
      <c r="S703" s="11"/>
      <c r="T703" s="6" t="s">
        <v>277</v>
      </c>
      <c r="U703" s="27" t="str">
        <f>HYPERLINK("https://media.infra-m.ru/1976/1976192/cover/1976192.jpg", "Обложка")</f>
        <v>Обложка</v>
      </c>
      <c r="V703" s="27" t="str">
        <f>HYPERLINK("https://znanium.com/catalog/product/1041949", "Ознакомиться")</f>
        <v>Ознакомиться</v>
      </c>
      <c r="W703" s="8" t="s">
        <v>4496</v>
      </c>
      <c r="X703" s="6"/>
      <c r="Y703" s="6"/>
      <c r="Z703" s="6"/>
      <c r="AA703" s="6" t="s">
        <v>601</v>
      </c>
    </row>
    <row r="704" spans="1:27" s="4" customFormat="1" ht="51.95" customHeight="1">
      <c r="A704" s="5">
        <v>0</v>
      </c>
      <c r="B704" s="6" t="s">
        <v>4497</v>
      </c>
      <c r="C704" s="13">
        <v>1194</v>
      </c>
      <c r="D704" s="8" t="s">
        <v>4498</v>
      </c>
      <c r="E704" s="8" t="s">
        <v>4499</v>
      </c>
      <c r="F704" s="8" t="s">
        <v>4500</v>
      </c>
      <c r="G704" s="6" t="s">
        <v>67</v>
      </c>
      <c r="H704" s="6" t="s">
        <v>53</v>
      </c>
      <c r="I704" s="8" t="s">
        <v>114</v>
      </c>
      <c r="J704" s="9">
        <v>1</v>
      </c>
      <c r="K704" s="9">
        <v>263</v>
      </c>
      <c r="L704" s="9">
        <v>2023</v>
      </c>
      <c r="M704" s="8" t="s">
        <v>4501</v>
      </c>
      <c r="N704" s="8" t="s">
        <v>56</v>
      </c>
      <c r="O704" s="8" t="s">
        <v>57</v>
      </c>
      <c r="P704" s="6" t="s">
        <v>116</v>
      </c>
      <c r="Q704" s="8" t="s">
        <v>81</v>
      </c>
      <c r="R704" s="10" t="s">
        <v>4502</v>
      </c>
      <c r="S704" s="11"/>
      <c r="T704" s="6"/>
      <c r="U704" s="27" t="str">
        <f>HYPERLINK("https://media.infra-m.ru/2006/2006925/cover/2006925.jpg", "Обложка")</f>
        <v>Обложка</v>
      </c>
      <c r="V704" s="27" t="str">
        <f>HYPERLINK("https://znanium.com/catalog/product/1065610", "Ознакомиться")</f>
        <v>Ознакомиться</v>
      </c>
      <c r="W704" s="8" t="s">
        <v>287</v>
      </c>
      <c r="X704" s="6"/>
      <c r="Y704" s="6"/>
      <c r="Z704" s="6"/>
      <c r="AA704" s="6" t="s">
        <v>73</v>
      </c>
    </row>
    <row r="705" spans="1:27" s="4" customFormat="1" ht="51.95" customHeight="1">
      <c r="A705" s="5">
        <v>0</v>
      </c>
      <c r="B705" s="6" t="s">
        <v>4503</v>
      </c>
      <c r="C705" s="13">
        <v>1020</v>
      </c>
      <c r="D705" s="8" t="s">
        <v>4504</v>
      </c>
      <c r="E705" s="8" t="s">
        <v>4505</v>
      </c>
      <c r="F705" s="8" t="s">
        <v>4506</v>
      </c>
      <c r="G705" s="6" t="s">
        <v>52</v>
      </c>
      <c r="H705" s="6" t="s">
        <v>53</v>
      </c>
      <c r="I705" s="8" t="s">
        <v>54</v>
      </c>
      <c r="J705" s="9">
        <v>1</v>
      </c>
      <c r="K705" s="9">
        <v>210</v>
      </c>
      <c r="L705" s="9">
        <v>2024</v>
      </c>
      <c r="M705" s="8" t="s">
        <v>4507</v>
      </c>
      <c r="N705" s="8" t="s">
        <v>56</v>
      </c>
      <c r="O705" s="8" t="s">
        <v>57</v>
      </c>
      <c r="P705" s="6" t="s">
        <v>42</v>
      </c>
      <c r="Q705" s="8" t="s">
        <v>43</v>
      </c>
      <c r="R705" s="10" t="s">
        <v>184</v>
      </c>
      <c r="S705" s="11" t="s">
        <v>4508</v>
      </c>
      <c r="T705" s="6"/>
      <c r="U705" s="27" t="str">
        <f>HYPERLINK("https://media.infra-m.ru/2078/2078393/cover/2078393.jpg", "Обложка")</f>
        <v>Обложка</v>
      </c>
      <c r="V705" s="27" t="str">
        <f>HYPERLINK("https://znanium.com/catalog/product/2078393", "Ознакомиться")</f>
        <v>Ознакомиться</v>
      </c>
      <c r="W705" s="8" t="s">
        <v>287</v>
      </c>
      <c r="X705" s="6"/>
      <c r="Y705" s="6"/>
      <c r="Z705" s="6"/>
      <c r="AA705" s="6" t="s">
        <v>658</v>
      </c>
    </row>
    <row r="706" spans="1:27" s="4" customFormat="1" ht="51.95" customHeight="1">
      <c r="A706" s="5">
        <v>0</v>
      </c>
      <c r="B706" s="6" t="s">
        <v>4509</v>
      </c>
      <c r="C706" s="7">
        <v>590</v>
      </c>
      <c r="D706" s="8" t="s">
        <v>4510</v>
      </c>
      <c r="E706" s="8" t="s">
        <v>4511</v>
      </c>
      <c r="F706" s="8" t="s">
        <v>4506</v>
      </c>
      <c r="G706" s="6" t="s">
        <v>52</v>
      </c>
      <c r="H706" s="6" t="s">
        <v>53</v>
      </c>
      <c r="I706" s="8" t="s">
        <v>165</v>
      </c>
      <c r="J706" s="9">
        <v>1</v>
      </c>
      <c r="K706" s="9">
        <v>210</v>
      </c>
      <c r="L706" s="9">
        <v>2018</v>
      </c>
      <c r="M706" s="8" t="s">
        <v>4512</v>
      </c>
      <c r="N706" s="8" t="s">
        <v>56</v>
      </c>
      <c r="O706" s="8" t="s">
        <v>57</v>
      </c>
      <c r="P706" s="6" t="s">
        <v>42</v>
      </c>
      <c r="Q706" s="8" t="s">
        <v>43</v>
      </c>
      <c r="R706" s="10" t="s">
        <v>184</v>
      </c>
      <c r="S706" s="11" t="s">
        <v>4508</v>
      </c>
      <c r="T706" s="6"/>
      <c r="U706" s="27" t="str">
        <f>HYPERLINK("https://media.infra-m.ru/0930/0930918/cover/930918.jpg", "Обложка")</f>
        <v>Обложка</v>
      </c>
      <c r="V706" s="27" t="str">
        <f>HYPERLINK("https://znanium.com/catalog/product/2078393", "Ознакомиться")</f>
        <v>Ознакомиться</v>
      </c>
      <c r="W706" s="8" t="s">
        <v>287</v>
      </c>
      <c r="X706" s="6"/>
      <c r="Y706" s="6"/>
      <c r="Z706" s="6"/>
      <c r="AA706" s="6" t="s">
        <v>1335</v>
      </c>
    </row>
    <row r="707" spans="1:27" s="4" customFormat="1" ht="51.95" customHeight="1">
      <c r="A707" s="5">
        <v>0</v>
      </c>
      <c r="B707" s="6" t="s">
        <v>4513</v>
      </c>
      <c r="C707" s="13">
        <v>1364.9</v>
      </c>
      <c r="D707" s="8" t="s">
        <v>4514</v>
      </c>
      <c r="E707" s="8" t="s">
        <v>4515</v>
      </c>
      <c r="F707" s="8" t="s">
        <v>4516</v>
      </c>
      <c r="G707" s="6" t="s">
        <v>52</v>
      </c>
      <c r="H707" s="6" t="s">
        <v>53</v>
      </c>
      <c r="I707" s="8" t="s">
        <v>165</v>
      </c>
      <c r="J707" s="9">
        <v>1</v>
      </c>
      <c r="K707" s="9">
        <v>304</v>
      </c>
      <c r="L707" s="9">
        <v>2023</v>
      </c>
      <c r="M707" s="8" t="s">
        <v>4517</v>
      </c>
      <c r="N707" s="8" t="s">
        <v>56</v>
      </c>
      <c r="O707" s="8" t="s">
        <v>57</v>
      </c>
      <c r="P707" s="6" t="s">
        <v>42</v>
      </c>
      <c r="Q707" s="8" t="s">
        <v>43</v>
      </c>
      <c r="R707" s="10" t="s">
        <v>1087</v>
      </c>
      <c r="S707" s="11" t="s">
        <v>4518</v>
      </c>
      <c r="T707" s="6"/>
      <c r="U707" s="27" t="str">
        <f>HYPERLINK("https://media.infra-m.ru/1971/1971828/cover/1971828.jpg", "Обложка")</f>
        <v>Обложка</v>
      </c>
      <c r="V707" s="27" t="str">
        <f>HYPERLINK("https://znanium.com/catalog/product/1816937", "Ознакомиться")</f>
        <v>Ознакомиться</v>
      </c>
      <c r="W707" s="8" t="s">
        <v>1163</v>
      </c>
      <c r="X707" s="6"/>
      <c r="Y707" s="6"/>
      <c r="Z707" s="6"/>
      <c r="AA707" s="6" t="s">
        <v>417</v>
      </c>
    </row>
    <row r="708" spans="1:27" s="4" customFormat="1" ht="51.95" customHeight="1">
      <c r="A708" s="5">
        <v>0</v>
      </c>
      <c r="B708" s="6" t="s">
        <v>4519</v>
      </c>
      <c r="C708" s="13">
        <v>1100</v>
      </c>
      <c r="D708" s="8" t="s">
        <v>4520</v>
      </c>
      <c r="E708" s="8" t="s">
        <v>4521</v>
      </c>
      <c r="F708" s="8" t="s">
        <v>4522</v>
      </c>
      <c r="G708" s="6" t="s">
        <v>37</v>
      </c>
      <c r="H708" s="6" t="s">
        <v>53</v>
      </c>
      <c r="I708" s="8" t="s">
        <v>165</v>
      </c>
      <c r="J708" s="9">
        <v>1</v>
      </c>
      <c r="K708" s="9">
        <v>379</v>
      </c>
      <c r="L708" s="9">
        <v>2018</v>
      </c>
      <c r="M708" s="8" t="s">
        <v>4523</v>
      </c>
      <c r="N708" s="8" t="s">
        <v>56</v>
      </c>
      <c r="O708" s="8" t="s">
        <v>57</v>
      </c>
      <c r="P708" s="6" t="s">
        <v>69</v>
      </c>
      <c r="Q708" s="8" t="s">
        <v>43</v>
      </c>
      <c r="R708" s="10" t="s">
        <v>132</v>
      </c>
      <c r="S708" s="11" t="s">
        <v>4524</v>
      </c>
      <c r="T708" s="6"/>
      <c r="U708" s="27" t="str">
        <f>HYPERLINK("https://media.infra-m.ru/0937/0937628/cover/937628.jpg", "Обложка")</f>
        <v>Обложка</v>
      </c>
      <c r="V708" s="27" t="str">
        <f>HYPERLINK("https://znanium.com/catalog/product/1932281", "Ознакомиться")</f>
        <v>Ознакомиться</v>
      </c>
      <c r="W708" s="8" t="s">
        <v>287</v>
      </c>
      <c r="X708" s="6"/>
      <c r="Y708" s="6"/>
      <c r="Z708" s="6"/>
      <c r="AA708" s="6" t="s">
        <v>365</v>
      </c>
    </row>
    <row r="709" spans="1:27" s="4" customFormat="1" ht="51.95" customHeight="1">
      <c r="A709" s="5">
        <v>0</v>
      </c>
      <c r="B709" s="6" t="s">
        <v>4525</v>
      </c>
      <c r="C709" s="13">
        <v>1744</v>
      </c>
      <c r="D709" s="8" t="s">
        <v>4526</v>
      </c>
      <c r="E709" s="8" t="s">
        <v>4527</v>
      </c>
      <c r="F709" s="8" t="s">
        <v>4522</v>
      </c>
      <c r="G709" s="6" t="s">
        <v>67</v>
      </c>
      <c r="H709" s="6" t="s">
        <v>53</v>
      </c>
      <c r="I709" s="8" t="s">
        <v>165</v>
      </c>
      <c r="J709" s="9">
        <v>1</v>
      </c>
      <c r="K709" s="9">
        <v>379</v>
      </c>
      <c r="L709" s="9">
        <v>2023</v>
      </c>
      <c r="M709" s="8" t="s">
        <v>4528</v>
      </c>
      <c r="N709" s="8" t="s">
        <v>56</v>
      </c>
      <c r="O709" s="8" t="s">
        <v>57</v>
      </c>
      <c r="P709" s="6" t="s">
        <v>69</v>
      </c>
      <c r="Q709" s="8" t="s">
        <v>43</v>
      </c>
      <c r="R709" s="10" t="s">
        <v>132</v>
      </c>
      <c r="S709" s="11" t="s">
        <v>4524</v>
      </c>
      <c r="T709" s="6"/>
      <c r="U709" s="27" t="str">
        <f>HYPERLINK("https://media.infra-m.ru/2110/2110069/cover/2110069.jpg", "Обложка")</f>
        <v>Обложка</v>
      </c>
      <c r="V709" s="27" t="str">
        <f>HYPERLINK("https://znanium.com/catalog/product/1932281", "Ознакомиться")</f>
        <v>Ознакомиться</v>
      </c>
      <c r="W709" s="8" t="s">
        <v>287</v>
      </c>
      <c r="X709" s="6"/>
      <c r="Y709" s="6"/>
      <c r="Z709" s="6"/>
      <c r="AA709" s="6" t="s">
        <v>4529</v>
      </c>
    </row>
    <row r="710" spans="1:27" s="4" customFormat="1" ht="51.95" customHeight="1">
      <c r="A710" s="5">
        <v>0</v>
      </c>
      <c r="B710" s="6" t="s">
        <v>4530</v>
      </c>
      <c r="C710" s="13">
        <v>1394.9</v>
      </c>
      <c r="D710" s="8" t="s">
        <v>4531</v>
      </c>
      <c r="E710" s="8" t="s">
        <v>4532</v>
      </c>
      <c r="F710" s="8" t="s">
        <v>4533</v>
      </c>
      <c r="G710" s="6" t="s">
        <v>37</v>
      </c>
      <c r="H710" s="6" t="s">
        <v>53</v>
      </c>
      <c r="I710" s="8" t="s">
        <v>114</v>
      </c>
      <c r="J710" s="9">
        <v>1</v>
      </c>
      <c r="K710" s="9">
        <v>357</v>
      </c>
      <c r="L710" s="9">
        <v>2022</v>
      </c>
      <c r="M710" s="8" t="s">
        <v>4534</v>
      </c>
      <c r="N710" s="8" t="s">
        <v>56</v>
      </c>
      <c r="O710" s="8" t="s">
        <v>57</v>
      </c>
      <c r="P710" s="6" t="s">
        <v>116</v>
      </c>
      <c r="Q710" s="8" t="s">
        <v>81</v>
      </c>
      <c r="R710" s="10" t="s">
        <v>275</v>
      </c>
      <c r="S710" s="11"/>
      <c r="T710" s="6"/>
      <c r="U710" s="27" t="str">
        <f>HYPERLINK("https://media.infra-m.ru/1817/1817947/cover/1817947.jpg", "Обложка")</f>
        <v>Обложка</v>
      </c>
      <c r="V710" s="27" t="str">
        <f>HYPERLINK("https://znanium.com/catalog/product/1817947", "Ознакомиться")</f>
        <v>Ознакомиться</v>
      </c>
      <c r="W710" s="8" t="s">
        <v>1286</v>
      </c>
      <c r="X710" s="6"/>
      <c r="Y710" s="6"/>
      <c r="Z710" s="6"/>
      <c r="AA710" s="6" t="s">
        <v>1306</v>
      </c>
    </row>
    <row r="711" spans="1:27" s="4" customFormat="1" ht="42" customHeight="1">
      <c r="A711" s="5">
        <v>0</v>
      </c>
      <c r="B711" s="6" t="s">
        <v>4535</v>
      </c>
      <c r="C711" s="7">
        <v>620</v>
      </c>
      <c r="D711" s="8" t="s">
        <v>4536</v>
      </c>
      <c r="E711" s="8" t="s">
        <v>4537</v>
      </c>
      <c r="F711" s="8" t="s">
        <v>4538</v>
      </c>
      <c r="G711" s="6" t="s">
        <v>52</v>
      </c>
      <c r="H711" s="6" t="s">
        <v>53</v>
      </c>
      <c r="I711" s="8" t="s">
        <v>114</v>
      </c>
      <c r="J711" s="9">
        <v>1</v>
      </c>
      <c r="K711" s="9">
        <v>162</v>
      </c>
      <c r="L711" s="9">
        <v>2022</v>
      </c>
      <c r="M711" s="8" t="s">
        <v>4539</v>
      </c>
      <c r="N711" s="8" t="s">
        <v>56</v>
      </c>
      <c r="O711" s="8" t="s">
        <v>57</v>
      </c>
      <c r="P711" s="6" t="s">
        <v>116</v>
      </c>
      <c r="Q711" s="8" t="s">
        <v>81</v>
      </c>
      <c r="R711" s="10" t="s">
        <v>4540</v>
      </c>
      <c r="S711" s="11"/>
      <c r="T711" s="6"/>
      <c r="U711" s="27" t="str">
        <f>HYPERLINK("https://media.infra-m.ru/1845/1845976/cover/1845976.jpg", "Обложка")</f>
        <v>Обложка</v>
      </c>
      <c r="V711" s="27" t="str">
        <f>HYPERLINK("https://znanium.com/catalog/product/1845976", "Ознакомиться")</f>
        <v>Ознакомиться</v>
      </c>
      <c r="W711" s="8" t="s">
        <v>3127</v>
      </c>
      <c r="X711" s="6"/>
      <c r="Y711" s="6"/>
      <c r="Z711" s="6"/>
      <c r="AA711" s="6" t="s">
        <v>62</v>
      </c>
    </row>
    <row r="712" spans="1:27" s="4" customFormat="1" ht="51.95" customHeight="1">
      <c r="A712" s="5">
        <v>0</v>
      </c>
      <c r="B712" s="6" t="s">
        <v>4541</v>
      </c>
      <c r="C712" s="7">
        <v>860</v>
      </c>
      <c r="D712" s="8" t="s">
        <v>4542</v>
      </c>
      <c r="E712" s="8" t="s">
        <v>4543</v>
      </c>
      <c r="F712" s="8" t="s">
        <v>4544</v>
      </c>
      <c r="G712" s="6" t="s">
        <v>67</v>
      </c>
      <c r="H712" s="6" t="s">
        <v>53</v>
      </c>
      <c r="I712" s="8" t="s">
        <v>1168</v>
      </c>
      <c r="J712" s="9">
        <v>1</v>
      </c>
      <c r="K712" s="9">
        <v>166</v>
      </c>
      <c r="L712" s="9">
        <v>2023</v>
      </c>
      <c r="M712" s="8" t="s">
        <v>4545</v>
      </c>
      <c r="N712" s="8" t="s">
        <v>56</v>
      </c>
      <c r="O712" s="8" t="s">
        <v>57</v>
      </c>
      <c r="P712" s="6" t="s">
        <v>42</v>
      </c>
      <c r="Q712" s="8" t="s">
        <v>43</v>
      </c>
      <c r="R712" s="10" t="s">
        <v>4546</v>
      </c>
      <c r="S712" s="11" t="s">
        <v>4547</v>
      </c>
      <c r="T712" s="6"/>
      <c r="U712" s="27" t="str">
        <f>HYPERLINK("https://media.infra-m.ru/1939/1939951/cover/1939951.jpg", "Обложка")</f>
        <v>Обложка</v>
      </c>
      <c r="V712" s="12"/>
      <c r="W712" s="8"/>
      <c r="X712" s="6"/>
      <c r="Y712" s="6"/>
      <c r="Z712" s="6"/>
      <c r="AA712" s="6" t="s">
        <v>93</v>
      </c>
    </row>
    <row r="713" spans="1:27" s="4" customFormat="1" ht="51.95" customHeight="1">
      <c r="A713" s="5">
        <v>0</v>
      </c>
      <c r="B713" s="6" t="s">
        <v>4548</v>
      </c>
      <c r="C713" s="13">
        <v>1514.9</v>
      </c>
      <c r="D713" s="8" t="s">
        <v>4549</v>
      </c>
      <c r="E713" s="8" t="s">
        <v>4550</v>
      </c>
      <c r="F713" s="8" t="s">
        <v>4551</v>
      </c>
      <c r="G713" s="6" t="s">
        <v>37</v>
      </c>
      <c r="H713" s="6" t="s">
        <v>53</v>
      </c>
      <c r="I713" s="8" t="s">
        <v>165</v>
      </c>
      <c r="J713" s="9">
        <v>1</v>
      </c>
      <c r="K713" s="9">
        <v>336</v>
      </c>
      <c r="L713" s="9">
        <v>2023</v>
      </c>
      <c r="M713" s="8" t="s">
        <v>4552</v>
      </c>
      <c r="N713" s="8" t="s">
        <v>56</v>
      </c>
      <c r="O713" s="8" t="s">
        <v>57</v>
      </c>
      <c r="P713" s="6" t="s">
        <v>42</v>
      </c>
      <c r="Q713" s="8" t="s">
        <v>43</v>
      </c>
      <c r="R713" s="10" t="s">
        <v>2262</v>
      </c>
      <c r="S713" s="11" t="s">
        <v>1656</v>
      </c>
      <c r="T713" s="6"/>
      <c r="U713" s="27" t="str">
        <f>HYPERLINK("https://media.infra-m.ru/1971/1971836/cover/1971836.jpg", "Обложка")</f>
        <v>Обложка</v>
      </c>
      <c r="V713" s="27" t="str">
        <f>HYPERLINK("https://znanium.com/catalog/product/1859992", "Ознакомиться")</f>
        <v>Ознакомиться</v>
      </c>
      <c r="W713" s="8" t="s">
        <v>4553</v>
      </c>
      <c r="X713" s="6"/>
      <c r="Y713" s="6"/>
      <c r="Z713" s="6"/>
      <c r="AA713" s="6" t="s">
        <v>301</v>
      </c>
    </row>
    <row r="714" spans="1:27" s="4" customFormat="1" ht="51.95" customHeight="1">
      <c r="A714" s="5">
        <v>0</v>
      </c>
      <c r="B714" s="6" t="s">
        <v>4554</v>
      </c>
      <c r="C714" s="13">
        <v>1070</v>
      </c>
      <c r="D714" s="8" t="s">
        <v>4555</v>
      </c>
      <c r="E714" s="8" t="s">
        <v>4556</v>
      </c>
      <c r="F714" s="8" t="s">
        <v>4557</v>
      </c>
      <c r="G714" s="6" t="s">
        <v>37</v>
      </c>
      <c r="H714" s="6" t="s">
        <v>53</v>
      </c>
      <c r="I714" s="8" t="s">
        <v>114</v>
      </c>
      <c r="J714" s="9">
        <v>1</v>
      </c>
      <c r="K714" s="9">
        <v>226</v>
      </c>
      <c r="L714" s="9">
        <v>2023</v>
      </c>
      <c r="M714" s="8" t="s">
        <v>4558</v>
      </c>
      <c r="N714" s="8" t="s">
        <v>56</v>
      </c>
      <c r="O714" s="8" t="s">
        <v>57</v>
      </c>
      <c r="P714" s="6" t="s">
        <v>116</v>
      </c>
      <c r="Q714" s="8" t="s">
        <v>81</v>
      </c>
      <c r="R714" s="10" t="s">
        <v>4559</v>
      </c>
      <c r="S714" s="11"/>
      <c r="T714" s="6"/>
      <c r="U714" s="27" t="str">
        <f>HYPERLINK("https://media.infra-m.ru/2036/2036523/cover/2036523.jpg", "Обложка")</f>
        <v>Обложка</v>
      </c>
      <c r="V714" s="27" t="str">
        <f>HYPERLINK("https://znanium.com/catalog/product/2036523", "Ознакомиться")</f>
        <v>Ознакомиться</v>
      </c>
      <c r="W714" s="8" t="s">
        <v>4560</v>
      </c>
      <c r="X714" s="6" t="s">
        <v>3230</v>
      </c>
      <c r="Y714" s="6"/>
      <c r="Z714" s="6"/>
      <c r="AA714" s="6" t="s">
        <v>93</v>
      </c>
    </row>
    <row r="715" spans="1:27" s="4" customFormat="1" ht="51.95" customHeight="1">
      <c r="A715" s="5">
        <v>0</v>
      </c>
      <c r="B715" s="6" t="s">
        <v>4561</v>
      </c>
      <c r="C715" s="7">
        <v>924.9</v>
      </c>
      <c r="D715" s="8" t="s">
        <v>4562</v>
      </c>
      <c r="E715" s="8" t="s">
        <v>4563</v>
      </c>
      <c r="F715" s="8" t="s">
        <v>3078</v>
      </c>
      <c r="G715" s="6" t="s">
        <v>67</v>
      </c>
      <c r="H715" s="6" t="s">
        <v>53</v>
      </c>
      <c r="I715" s="8" t="s">
        <v>148</v>
      </c>
      <c r="J715" s="9">
        <v>1</v>
      </c>
      <c r="K715" s="9">
        <v>206</v>
      </c>
      <c r="L715" s="9">
        <v>2023</v>
      </c>
      <c r="M715" s="8" t="s">
        <v>4564</v>
      </c>
      <c r="N715" s="8" t="s">
        <v>56</v>
      </c>
      <c r="O715" s="8" t="s">
        <v>57</v>
      </c>
      <c r="P715" s="6" t="s">
        <v>69</v>
      </c>
      <c r="Q715" s="8" t="s">
        <v>150</v>
      </c>
      <c r="R715" s="10" t="s">
        <v>4565</v>
      </c>
      <c r="S715" s="11"/>
      <c r="T715" s="6"/>
      <c r="U715" s="27" t="str">
        <f>HYPERLINK("https://media.infra-m.ru/1971/1971823/cover/1971823.jpg", "Обложка")</f>
        <v>Обложка</v>
      </c>
      <c r="V715" s="27" t="str">
        <f>HYPERLINK("https://znanium.com/catalog/product/2099995", "Ознакомиться")</f>
        <v>Ознакомиться</v>
      </c>
      <c r="W715" s="8" t="s">
        <v>1155</v>
      </c>
      <c r="X715" s="6"/>
      <c r="Y715" s="6"/>
      <c r="Z715" s="6"/>
      <c r="AA715" s="6" t="s">
        <v>510</v>
      </c>
    </row>
    <row r="716" spans="1:27" s="4" customFormat="1" ht="51.95" customHeight="1">
      <c r="A716" s="5">
        <v>0</v>
      </c>
      <c r="B716" s="6" t="s">
        <v>4566</v>
      </c>
      <c r="C716" s="13">
        <v>1360</v>
      </c>
      <c r="D716" s="8" t="s">
        <v>4567</v>
      </c>
      <c r="E716" s="8" t="s">
        <v>4568</v>
      </c>
      <c r="F716" s="8" t="s">
        <v>4569</v>
      </c>
      <c r="G716" s="6" t="s">
        <v>37</v>
      </c>
      <c r="H716" s="6" t="s">
        <v>53</v>
      </c>
      <c r="I716" s="8" t="s">
        <v>54</v>
      </c>
      <c r="J716" s="9">
        <v>1</v>
      </c>
      <c r="K716" s="9">
        <v>296</v>
      </c>
      <c r="L716" s="9">
        <v>2024</v>
      </c>
      <c r="M716" s="8" t="s">
        <v>4570</v>
      </c>
      <c r="N716" s="8" t="s">
        <v>56</v>
      </c>
      <c r="O716" s="8" t="s">
        <v>57</v>
      </c>
      <c r="P716" s="6" t="s">
        <v>69</v>
      </c>
      <c r="Q716" s="8" t="s">
        <v>150</v>
      </c>
      <c r="R716" s="10" t="s">
        <v>4565</v>
      </c>
      <c r="S716" s="11"/>
      <c r="T716" s="6"/>
      <c r="U716" s="27" t="str">
        <f>HYPERLINK("https://media.infra-m.ru/2099/2099995/cover/2099995.jpg", "Обложка")</f>
        <v>Обложка</v>
      </c>
      <c r="V716" s="27" t="str">
        <f>HYPERLINK("https://znanium.com/catalog/product/2099995", "Ознакомиться")</f>
        <v>Ознакомиться</v>
      </c>
      <c r="W716" s="8" t="s">
        <v>1155</v>
      </c>
      <c r="X716" s="6" t="s">
        <v>903</v>
      </c>
      <c r="Y716" s="6"/>
      <c r="Z716" s="6"/>
      <c r="AA716" s="6" t="s">
        <v>904</v>
      </c>
    </row>
    <row r="717" spans="1:27" s="4" customFormat="1" ht="42" customHeight="1">
      <c r="A717" s="5">
        <v>0</v>
      </c>
      <c r="B717" s="6" t="s">
        <v>4571</v>
      </c>
      <c r="C717" s="13">
        <v>1590</v>
      </c>
      <c r="D717" s="8" t="s">
        <v>4572</v>
      </c>
      <c r="E717" s="8" t="s">
        <v>4573</v>
      </c>
      <c r="F717" s="8" t="s">
        <v>4574</v>
      </c>
      <c r="G717" s="6" t="s">
        <v>37</v>
      </c>
      <c r="H717" s="6" t="s">
        <v>53</v>
      </c>
      <c r="I717" s="8" t="s">
        <v>54</v>
      </c>
      <c r="J717" s="9">
        <v>1</v>
      </c>
      <c r="K717" s="9">
        <v>331</v>
      </c>
      <c r="L717" s="9">
        <v>2024</v>
      </c>
      <c r="M717" s="8" t="s">
        <v>4575</v>
      </c>
      <c r="N717" s="8" t="s">
        <v>56</v>
      </c>
      <c r="O717" s="8" t="s">
        <v>57</v>
      </c>
      <c r="P717" s="6" t="s">
        <v>69</v>
      </c>
      <c r="Q717" s="8" t="s">
        <v>43</v>
      </c>
      <c r="R717" s="10" t="s">
        <v>4576</v>
      </c>
      <c r="S717" s="11"/>
      <c r="T717" s="6"/>
      <c r="U717" s="27" t="str">
        <f>HYPERLINK("https://media.infra-m.ru/1862/1862682/cover/1862682.jpg", "Обложка")</f>
        <v>Обложка</v>
      </c>
      <c r="V717" s="27" t="str">
        <f>HYPERLINK("https://znanium.com/catalog/product/1862682", "Ознакомиться")</f>
        <v>Ознакомиться</v>
      </c>
      <c r="W717" s="8" t="s">
        <v>1155</v>
      </c>
      <c r="X717" s="6" t="s">
        <v>903</v>
      </c>
      <c r="Y717" s="6"/>
      <c r="Z717" s="6"/>
      <c r="AA717" s="6" t="s">
        <v>226</v>
      </c>
    </row>
    <row r="718" spans="1:27" s="4" customFormat="1" ht="51.95" customHeight="1">
      <c r="A718" s="5">
        <v>0</v>
      </c>
      <c r="B718" s="6" t="s">
        <v>4577</v>
      </c>
      <c r="C718" s="13">
        <v>1660</v>
      </c>
      <c r="D718" s="8" t="s">
        <v>4578</v>
      </c>
      <c r="E718" s="8" t="s">
        <v>4579</v>
      </c>
      <c r="F718" s="8" t="s">
        <v>4580</v>
      </c>
      <c r="G718" s="6" t="s">
        <v>67</v>
      </c>
      <c r="H718" s="6" t="s">
        <v>239</v>
      </c>
      <c r="I718" s="8" t="s">
        <v>386</v>
      </c>
      <c r="J718" s="9">
        <v>1</v>
      </c>
      <c r="K718" s="9">
        <v>368</v>
      </c>
      <c r="L718" s="9">
        <v>2023</v>
      </c>
      <c r="M718" s="8" t="s">
        <v>4581</v>
      </c>
      <c r="N718" s="8" t="s">
        <v>56</v>
      </c>
      <c r="O718" s="8" t="s">
        <v>57</v>
      </c>
      <c r="P718" s="6" t="s">
        <v>42</v>
      </c>
      <c r="Q718" s="8" t="s">
        <v>150</v>
      </c>
      <c r="R718" s="10" t="s">
        <v>4347</v>
      </c>
      <c r="S718" s="11"/>
      <c r="T718" s="6"/>
      <c r="U718" s="27" t="str">
        <f>HYPERLINK("https://media.infra-m.ru/2039/2039130/cover/2039130.jpg", "Обложка")</f>
        <v>Обложка</v>
      </c>
      <c r="V718" s="27" t="str">
        <f>HYPERLINK("https://znanium.com/catalog/product/1852251", "Ознакомиться")</f>
        <v>Ознакомиться</v>
      </c>
      <c r="W718" s="8"/>
      <c r="X718" s="6"/>
      <c r="Y718" s="6"/>
      <c r="Z718" s="6"/>
      <c r="AA718" s="6" t="s">
        <v>47</v>
      </c>
    </row>
    <row r="719" spans="1:27" s="4" customFormat="1" ht="51.95" customHeight="1">
      <c r="A719" s="5">
        <v>0</v>
      </c>
      <c r="B719" s="6" t="s">
        <v>4582</v>
      </c>
      <c r="C719" s="7">
        <v>954</v>
      </c>
      <c r="D719" s="8" t="s">
        <v>4583</v>
      </c>
      <c r="E719" s="8" t="s">
        <v>4584</v>
      </c>
      <c r="F719" s="8" t="s">
        <v>4585</v>
      </c>
      <c r="G719" s="6" t="s">
        <v>37</v>
      </c>
      <c r="H719" s="6" t="s">
        <v>53</v>
      </c>
      <c r="I719" s="8" t="s">
        <v>165</v>
      </c>
      <c r="J719" s="9">
        <v>1</v>
      </c>
      <c r="K719" s="9">
        <v>208</v>
      </c>
      <c r="L719" s="9">
        <v>2024</v>
      </c>
      <c r="M719" s="8" t="s">
        <v>4586</v>
      </c>
      <c r="N719" s="8" t="s">
        <v>56</v>
      </c>
      <c r="O719" s="8" t="s">
        <v>57</v>
      </c>
      <c r="P719" s="6" t="s">
        <v>69</v>
      </c>
      <c r="Q719" s="8" t="s">
        <v>43</v>
      </c>
      <c r="R719" s="10" t="s">
        <v>4587</v>
      </c>
      <c r="S719" s="11" t="s">
        <v>4588</v>
      </c>
      <c r="T719" s="6" t="s">
        <v>277</v>
      </c>
      <c r="U719" s="27" t="str">
        <f>HYPERLINK("https://media.infra-m.ru/1841/1841439/cover/1841439.jpg", "Обложка")</f>
        <v>Обложка</v>
      </c>
      <c r="V719" s="27" t="str">
        <f>HYPERLINK("https://znanium.com/catalog/product/939204", "Ознакомиться")</f>
        <v>Ознакомиться</v>
      </c>
      <c r="W719" s="8" t="s">
        <v>72</v>
      </c>
      <c r="X719" s="6"/>
      <c r="Y719" s="6"/>
      <c r="Z719" s="6"/>
      <c r="AA719" s="6" t="s">
        <v>308</v>
      </c>
    </row>
    <row r="720" spans="1:27" s="4" customFormat="1" ht="51.95" customHeight="1">
      <c r="A720" s="5">
        <v>0</v>
      </c>
      <c r="B720" s="6" t="s">
        <v>4589</v>
      </c>
      <c r="C720" s="13">
        <v>1280</v>
      </c>
      <c r="D720" s="8" t="s">
        <v>4590</v>
      </c>
      <c r="E720" s="8" t="s">
        <v>4591</v>
      </c>
      <c r="F720" s="8" t="s">
        <v>4592</v>
      </c>
      <c r="G720" s="6" t="s">
        <v>52</v>
      </c>
      <c r="H720" s="6" t="s">
        <v>53</v>
      </c>
      <c r="I720" s="8" t="s">
        <v>114</v>
      </c>
      <c r="J720" s="9">
        <v>1</v>
      </c>
      <c r="K720" s="9">
        <v>277</v>
      </c>
      <c r="L720" s="9">
        <v>2024</v>
      </c>
      <c r="M720" s="8" t="s">
        <v>4593</v>
      </c>
      <c r="N720" s="8" t="s">
        <v>56</v>
      </c>
      <c r="O720" s="8" t="s">
        <v>57</v>
      </c>
      <c r="P720" s="6" t="s">
        <v>116</v>
      </c>
      <c r="Q720" s="8" t="s">
        <v>81</v>
      </c>
      <c r="R720" s="10" t="s">
        <v>4594</v>
      </c>
      <c r="S720" s="11"/>
      <c r="T720" s="6"/>
      <c r="U720" s="27" t="str">
        <f>HYPERLINK("https://media.infra-m.ru/2117/2117125/cover/2117125.jpg", "Обложка")</f>
        <v>Обложка</v>
      </c>
      <c r="V720" s="27" t="str">
        <f>HYPERLINK("https://znanium.com/catalog/product/2117125", "Ознакомиться")</f>
        <v>Ознакомиться</v>
      </c>
      <c r="W720" s="8" t="s">
        <v>4595</v>
      </c>
      <c r="X720" s="6"/>
      <c r="Y720" s="6"/>
      <c r="Z720" s="6"/>
      <c r="AA720" s="6" t="s">
        <v>47</v>
      </c>
    </row>
    <row r="721" spans="1:27" s="4" customFormat="1" ht="42" customHeight="1">
      <c r="A721" s="5">
        <v>0</v>
      </c>
      <c r="B721" s="6" t="s">
        <v>4596</v>
      </c>
      <c r="C721" s="7">
        <v>834.9</v>
      </c>
      <c r="D721" s="8" t="s">
        <v>4597</v>
      </c>
      <c r="E721" s="8" t="s">
        <v>4598</v>
      </c>
      <c r="F721" s="8" t="s">
        <v>4599</v>
      </c>
      <c r="G721" s="6" t="s">
        <v>52</v>
      </c>
      <c r="H721" s="6" t="s">
        <v>53</v>
      </c>
      <c r="I721" s="8" t="s">
        <v>114</v>
      </c>
      <c r="J721" s="9">
        <v>1</v>
      </c>
      <c r="K721" s="9">
        <v>246</v>
      </c>
      <c r="L721" s="9">
        <v>2020</v>
      </c>
      <c r="M721" s="8" t="s">
        <v>4600</v>
      </c>
      <c r="N721" s="8" t="s">
        <v>56</v>
      </c>
      <c r="O721" s="8" t="s">
        <v>57</v>
      </c>
      <c r="P721" s="6" t="s">
        <v>116</v>
      </c>
      <c r="Q721" s="8" t="s">
        <v>81</v>
      </c>
      <c r="R721" s="10" t="s">
        <v>4601</v>
      </c>
      <c r="S721" s="11"/>
      <c r="T721" s="6"/>
      <c r="U721" s="27" t="str">
        <f>HYPERLINK("https://media.infra-m.ru/1036/1036465/cover/1036465.jpg", "Обложка")</f>
        <v>Обложка</v>
      </c>
      <c r="V721" s="27" t="str">
        <f>HYPERLINK("https://znanium.com/catalog/product/1036465", "Ознакомиться")</f>
        <v>Ознакомиться</v>
      </c>
      <c r="W721" s="8" t="s">
        <v>134</v>
      </c>
      <c r="X721" s="6"/>
      <c r="Y721" s="6"/>
      <c r="Z721" s="6"/>
      <c r="AA721" s="6" t="s">
        <v>84</v>
      </c>
    </row>
    <row r="722" spans="1:27" s="4" customFormat="1" ht="51.95" customHeight="1">
      <c r="A722" s="5">
        <v>0</v>
      </c>
      <c r="B722" s="6" t="s">
        <v>4602</v>
      </c>
      <c r="C722" s="13">
        <v>1284.9000000000001</v>
      </c>
      <c r="D722" s="8" t="s">
        <v>4603</v>
      </c>
      <c r="E722" s="8" t="s">
        <v>4604</v>
      </c>
      <c r="F722" s="8" t="s">
        <v>790</v>
      </c>
      <c r="G722" s="6" t="s">
        <v>37</v>
      </c>
      <c r="H722" s="6" t="s">
        <v>53</v>
      </c>
      <c r="I722" s="8" t="s">
        <v>459</v>
      </c>
      <c r="J722" s="9">
        <v>1</v>
      </c>
      <c r="K722" s="9">
        <v>400</v>
      </c>
      <c r="L722" s="9">
        <v>2019</v>
      </c>
      <c r="M722" s="8" t="s">
        <v>4605</v>
      </c>
      <c r="N722" s="8" t="s">
        <v>56</v>
      </c>
      <c r="O722" s="8" t="s">
        <v>57</v>
      </c>
      <c r="P722" s="6" t="s">
        <v>69</v>
      </c>
      <c r="Q722" s="8" t="s">
        <v>785</v>
      </c>
      <c r="R722" s="10" t="s">
        <v>4606</v>
      </c>
      <c r="S722" s="11" t="s">
        <v>4607</v>
      </c>
      <c r="T722" s="6" t="s">
        <v>277</v>
      </c>
      <c r="U722" s="27" t="str">
        <f>HYPERLINK("https://media.infra-m.ru/1010/1010753/cover/1010753.jpg", "Обложка")</f>
        <v>Обложка</v>
      </c>
      <c r="V722" s="27" t="str">
        <f>HYPERLINK("https://znanium.com/catalog/product/2053977", "Ознакомиться")</f>
        <v>Ознакомиться</v>
      </c>
      <c r="W722" s="8" t="s">
        <v>287</v>
      </c>
      <c r="X722" s="6"/>
      <c r="Y722" s="6"/>
      <c r="Z722" s="6"/>
      <c r="AA722" s="6" t="s">
        <v>1813</v>
      </c>
    </row>
    <row r="723" spans="1:27" s="4" customFormat="1" ht="51.95" customHeight="1">
      <c r="A723" s="5">
        <v>0</v>
      </c>
      <c r="B723" s="6" t="s">
        <v>4608</v>
      </c>
      <c r="C723" s="13">
        <v>1874</v>
      </c>
      <c r="D723" s="8" t="s">
        <v>4609</v>
      </c>
      <c r="E723" s="8" t="s">
        <v>4610</v>
      </c>
      <c r="F723" s="8" t="s">
        <v>790</v>
      </c>
      <c r="G723" s="6" t="s">
        <v>37</v>
      </c>
      <c r="H723" s="6" t="s">
        <v>53</v>
      </c>
      <c r="I723" s="8" t="s">
        <v>459</v>
      </c>
      <c r="J723" s="9">
        <v>1</v>
      </c>
      <c r="K723" s="9">
        <v>409</v>
      </c>
      <c r="L723" s="9">
        <v>2019</v>
      </c>
      <c r="M723" s="8" t="s">
        <v>4611</v>
      </c>
      <c r="N723" s="8" t="s">
        <v>56</v>
      </c>
      <c r="O723" s="8" t="s">
        <v>57</v>
      </c>
      <c r="P723" s="6" t="s">
        <v>69</v>
      </c>
      <c r="Q723" s="8" t="s">
        <v>785</v>
      </c>
      <c r="R723" s="10" t="s">
        <v>4606</v>
      </c>
      <c r="S723" s="11" t="s">
        <v>4612</v>
      </c>
      <c r="T723" s="6"/>
      <c r="U723" s="27" t="str">
        <f>HYPERLINK("https://media.infra-m.ru/2062/2062472/cover/2062472.jpg", "Обложка")</f>
        <v>Обложка</v>
      </c>
      <c r="V723" s="27" t="str">
        <f>HYPERLINK("https://znanium.com/catalog/product/2053977", "Ознакомиться")</f>
        <v>Ознакомиться</v>
      </c>
      <c r="W723" s="8" t="s">
        <v>287</v>
      </c>
      <c r="X723" s="6"/>
      <c r="Y723" s="6"/>
      <c r="Z723" s="6"/>
      <c r="AA723" s="6" t="s">
        <v>4018</v>
      </c>
    </row>
    <row r="724" spans="1:27" s="4" customFormat="1" ht="51.95" customHeight="1">
      <c r="A724" s="5">
        <v>0</v>
      </c>
      <c r="B724" s="6" t="s">
        <v>4613</v>
      </c>
      <c r="C724" s="7">
        <v>739.9</v>
      </c>
      <c r="D724" s="8" t="s">
        <v>4614</v>
      </c>
      <c r="E724" s="8" t="s">
        <v>4615</v>
      </c>
      <c r="F724" s="8" t="s">
        <v>4616</v>
      </c>
      <c r="G724" s="6" t="s">
        <v>52</v>
      </c>
      <c r="H724" s="6" t="s">
        <v>98</v>
      </c>
      <c r="I724" s="8" t="s">
        <v>148</v>
      </c>
      <c r="J724" s="9">
        <v>1</v>
      </c>
      <c r="K724" s="9">
        <v>164</v>
      </c>
      <c r="L724" s="9">
        <v>2021</v>
      </c>
      <c r="M724" s="8" t="s">
        <v>4617</v>
      </c>
      <c r="N724" s="8" t="s">
        <v>56</v>
      </c>
      <c r="O724" s="8" t="s">
        <v>57</v>
      </c>
      <c r="P724" s="6" t="s">
        <v>42</v>
      </c>
      <c r="Q724" s="8" t="s">
        <v>150</v>
      </c>
      <c r="R724" s="10" t="s">
        <v>4618</v>
      </c>
      <c r="S724" s="11" t="s">
        <v>4619</v>
      </c>
      <c r="T724" s="6"/>
      <c r="U724" s="27" t="str">
        <f>HYPERLINK("https://media.infra-m.ru/1255/1255784/cover/1255784.jpg", "Обложка")</f>
        <v>Обложка</v>
      </c>
      <c r="V724" s="27" t="str">
        <f>HYPERLINK("https://znanium.com/catalog/product/938040", "Ознакомиться")</f>
        <v>Ознакомиться</v>
      </c>
      <c r="W724" s="8" t="s">
        <v>1748</v>
      </c>
      <c r="X724" s="6"/>
      <c r="Y724" s="6"/>
      <c r="Z724" s="6"/>
      <c r="AA724" s="6" t="s">
        <v>253</v>
      </c>
    </row>
    <row r="725" spans="1:27" s="4" customFormat="1" ht="51.95" customHeight="1">
      <c r="A725" s="5">
        <v>0</v>
      </c>
      <c r="B725" s="6" t="s">
        <v>4620</v>
      </c>
      <c r="C725" s="13">
        <v>1540</v>
      </c>
      <c r="D725" s="8" t="s">
        <v>4621</v>
      </c>
      <c r="E725" s="8" t="s">
        <v>4622</v>
      </c>
      <c r="F725" s="8" t="s">
        <v>4623</v>
      </c>
      <c r="G725" s="6" t="s">
        <v>67</v>
      </c>
      <c r="H725" s="6" t="s">
        <v>53</v>
      </c>
      <c r="I725" s="8" t="s">
        <v>165</v>
      </c>
      <c r="J725" s="9">
        <v>1</v>
      </c>
      <c r="K725" s="9">
        <v>336</v>
      </c>
      <c r="L725" s="9">
        <v>2023</v>
      </c>
      <c r="M725" s="8" t="s">
        <v>4624</v>
      </c>
      <c r="N725" s="8" t="s">
        <v>56</v>
      </c>
      <c r="O725" s="8" t="s">
        <v>57</v>
      </c>
      <c r="P725" s="6" t="s">
        <v>69</v>
      </c>
      <c r="Q725" s="8" t="s">
        <v>43</v>
      </c>
      <c r="R725" s="10" t="s">
        <v>4625</v>
      </c>
      <c r="S725" s="11" t="s">
        <v>4626</v>
      </c>
      <c r="T725" s="6" t="s">
        <v>277</v>
      </c>
      <c r="U725" s="27" t="str">
        <f>HYPERLINK("https://media.infra-m.ru/1939/1939097/cover/1939097.jpg", "Обложка")</f>
        <v>Обложка</v>
      </c>
      <c r="V725" s="27" t="str">
        <f>HYPERLINK("https://znanium.com/catalog/product/1939097", "Ознакомиться")</f>
        <v>Ознакомиться</v>
      </c>
      <c r="W725" s="8" t="s">
        <v>4627</v>
      </c>
      <c r="X725" s="6"/>
      <c r="Y725" s="6"/>
      <c r="Z725" s="6"/>
      <c r="AA725" s="6" t="s">
        <v>1082</v>
      </c>
    </row>
    <row r="726" spans="1:27" s="4" customFormat="1" ht="51.95" customHeight="1">
      <c r="A726" s="5">
        <v>0</v>
      </c>
      <c r="B726" s="6" t="s">
        <v>4628</v>
      </c>
      <c r="C726" s="7">
        <v>910</v>
      </c>
      <c r="D726" s="8" t="s">
        <v>4629</v>
      </c>
      <c r="E726" s="8" t="s">
        <v>4630</v>
      </c>
      <c r="F726" s="8" t="s">
        <v>1251</v>
      </c>
      <c r="G726" s="6" t="s">
        <v>67</v>
      </c>
      <c r="H726" s="6" t="s">
        <v>265</v>
      </c>
      <c r="I726" s="8" t="s">
        <v>652</v>
      </c>
      <c r="J726" s="9">
        <v>1</v>
      </c>
      <c r="K726" s="9">
        <v>240</v>
      </c>
      <c r="L726" s="9">
        <v>2022</v>
      </c>
      <c r="M726" s="8" t="s">
        <v>4631</v>
      </c>
      <c r="N726" s="8" t="s">
        <v>56</v>
      </c>
      <c r="O726" s="8" t="s">
        <v>57</v>
      </c>
      <c r="P726" s="6" t="s">
        <v>69</v>
      </c>
      <c r="Q726" s="8" t="s">
        <v>654</v>
      </c>
      <c r="R726" s="10" t="s">
        <v>4632</v>
      </c>
      <c r="S726" s="11" t="s">
        <v>4633</v>
      </c>
      <c r="T726" s="6"/>
      <c r="U726" s="27" t="str">
        <f>HYPERLINK("https://media.infra-m.ru/1850/1850732/cover/1850732.jpg", "Обложка")</f>
        <v>Обложка</v>
      </c>
      <c r="V726" s="27" t="str">
        <f>HYPERLINK("https://znanium.com/catalog/product/1850732", "Ознакомиться")</f>
        <v>Ознакомиться</v>
      </c>
      <c r="W726" s="8" t="s">
        <v>72</v>
      </c>
      <c r="X726" s="6"/>
      <c r="Y726" s="6"/>
      <c r="Z726" s="6" t="s">
        <v>657</v>
      </c>
      <c r="AA726" s="6" t="s">
        <v>601</v>
      </c>
    </row>
    <row r="727" spans="1:27" s="4" customFormat="1" ht="44.1" customHeight="1">
      <c r="A727" s="5">
        <v>0</v>
      </c>
      <c r="B727" s="6" t="s">
        <v>4634</v>
      </c>
      <c r="C727" s="7">
        <v>794.9</v>
      </c>
      <c r="D727" s="8" t="s">
        <v>4635</v>
      </c>
      <c r="E727" s="8" t="s">
        <v>4636</v>
      </c>
      <c r="F727" s="8" t="s">
        <v>4637</v>
      </c>
      <c r="G727" s="6" t="s">
        <v>52</v>
      </c>
      <c r="H727" s="6" t="s">
        <v>53</v>
      </c>
      <c r="I727" s="8" t="s">
        <v>114</v>
      </c>
      <c r="J727" s="9">
        <v>1</v>
      </c>
      <c r="K727" s="9">
        <v>177</v>
      </c>
      <c r="L727" s="9">
        <v>2023</v>
      </c>
      <c r="M727" s="8" t="s">
        <v>4638</v>
      </c>
      <c r="N727" s="8" t="s">
        <v>56</v>
      </c>
      <c r="O727" s="8" t="s">
        <v>57</v>
      </c>
      <c r="P727" s="6" t="s">
        <v>116</v>
      </c>
      <c r="Q727" s="8" t="s">
        <v>81</v>
      </c>
      <c r="R727" s="10" t="s">
        <v>480</v>
      </c>
      <c r="S727" s="11"/>
      <c r="T727" s="6"/>
      <c r="U727" s="27" t="str">
        <f>HYPERLINK("https://media.infra-m.ru/1964/1964981/cover/1964981.jpg", "Обложка")</f>
        <v>Обложка</v>
      </c>
      <c r="V727" s="27" t="str">
        <f>HYPERLINK("https://znanium.com/catalog/product/1009542", "Ознакомиться")</f>
        <v>Ознакомиться</v>
      </c>
      <c r="W727" s="8" t="s">
        <v>1610</v>
      </c>
      <c r="X727" s="6"/>
      <c r="Y727" s="6"/>
      <c r="Z727" s="6"/>
      <c r="AA727" s="6" t="s">
        <v>510</v>
      </c>
    </row>
    <row r="728" spans="1:27" s="4" customFormat="1" ht="51.95" customHeight="1">
      <c r="A728" s="5">
        <v>0</v>
      </c>
      <c r="B728" s="6" t="s">
        <v>4639</v>
      </c>
      <c r="C728" s="7">
        <v>934.9</v>
      </c>
      <c r="D728" s="8" t="s">
        <v>4640</v>
      </c>
      <c r="E728" s="8" t="s">
        <v>4641</v>
      </c>
      <c r="F728" s="8" t="s">
        <v>4642</v>
      </c>
      <c r="G728" s="6" t="s">
        <v>37</v>
      </c>
      <c r="H728" s="6" t="s">
        <v>38</v>
      </c>
      <c r="I728" s="8"/>
      <c r="J728" s="9">
        <v>1</v>
      </c>
      <c r="K728" s="9">
        <v>208</v>
      </c>
      <c r="L728" s="9">
        <v>2023</v>
      </c>
      <c r="M728" s="8" t="s">
        <v>4643</v>
      </c>
      <c r="N728" s="8" t="s">
        <v>56</v>
      </c>
      <c r="O728" s="8" t="s">
        <v>57</v>
      </c>
      <c r="P728" s="6" t="s">
        <v>42</v>
      </c>
      <c r="Q728" s="8" t="s">
        <v>43</v>
      </c>
      <c r="R728" s="10" t="s">
        <v>4644</v>
      </c>
      <c r="S728" s="11"/>
      <c r="T728" s="6"/>
      <c r="U728" s="27" t="str">
        <f>HYPERLINK("https://media.infra-m.ru/1913/1913223/cover/1913223.jpg", "Обложка")</f>
        <v>Обложка</v>
      </c>
      <c r="V728" s="27" t="str">
        <f>HYPERLINK("https://znanium.com/catalog/product/1010077", "Ознакомиться")</f>
        <v>Ознакомиться</v>
      </c>
      <c r="W728" s="8"/>
      <c r="X728" s="6"/>
      <c r="Y728" s="6"/>
      <c r="Z728" s="6"/>
      <c r="AA728" s="6" t="s">
        <v>62</v>
      </c>
    </row>
    <row r="729" spans="1:27" s="4" customFormat="1" ht="51.95" customHeight="1">
      <c r="A729" s="5">
        <v>0</v>
      </c>
      <c r="B729" s="6" t="s">
        <v>4645</v>
      </c>
      <c r="C729" s="7">
        <v>710</v>
      </c>
      <c r="D729" s="8" t="s">
        <v>4646</v>
      </c>
      <c r="E729" s="8" t="s">
        <v>4641</v>
      </c>
      <c r="F729" s="8" t="s">
        <v>4647</v>
      </c>
      <c r="G729" s="6" t="s">
        <v>37</v>
      </c>
      <c r="H729" s="6" t="s">
        <v>38</v>
      </c>
      <c r="I729" s="8" t="s">
        <v>652</v>
      </c>
      <c r="J729" s="9">
        <v>1</v>
      </c>
      <c r="K729" s="9">
        <v>208</v>
      </c>
      <c r="L729" s="9">
        <v>2020</v>
      </c>
      <c r="M729" s="8" t="s">
        <v>4648</v>
      </c>
      <c r="N729" s="8" t="s">
        <v>56</v>
      </c>
      <c r="O729" s="8" t="s">
        <v>57</v>
      </c>
      <c r="P729" s="6" t="s">
        <v>42</v>
      </c>
      <c r="Q729" s="8" t="s">
        <v>654</v>
      </c>
      <c r="R729" s="10" t="s">
        <v>4649</v>
      </c>
      <c r="S729" s="11" t="s">
        <v>4650</v>
      </c>
      <c r="T729" s="6"/>
      <c r="U729" s="27" t="str">
        <f>HYPERLINK("https://media.infra-m.ru/1043/1043108/cover/1043108.jpg", "Обложка")</f>
        <v>Обложка</v>
      </c>
      <c r="V729" s="27" t="str">
        <f>HYPERLINK("https://znanium.com/catalog/product/1043108", "Ознакомиться")</f>
        <v>Ознакомиться</v>
      </c>
      <c r="W729" s="8"/>
      <c r="X729" s="6"/>
      <c r="Y729" s="6"/>
      <c r="Z729" s="6" t="s">
        <v>657</v>
      </c>
      <c r="AA729" s="6" t="s">
        <v>601</v>
      </c>
    </row>
    <row r="730" spans="1:27" s="4" customFormat="1" ht="51.95" customHeight="1">
      <c r="A730" s="5">
        <v>0</v>
      </c>
      <c r="B730" s="6" t="s">
        <v>4651</v>
      </c>
      <c r="C730" s="13">
        <v>1034.9000000000001</v>
      </c>
      <c r="D730" s="8" t="s">
        <v>4652</v>
      </c>
      <c r="E730" s="8" t="s">
        <v>4653</v>
      </c>
      <c r="F730" s="8" t="s">
        <v>4654</v>
      </c>
      <c r="G730" s="6" t="s">
        <v>52</v>
      </c>
      <c r="H730" s="6" t="s">
        <v>939</v>
      </c>
      <c r="I730" s="8" t="s">
        <v>165</v>
      </c>
      <c r="J730" s="9">
        <v>1</v>
      </c>
      <c r="K730" s="9">
        <v>304</v>
      </c>
      <c r="L730" s="9">
        <v>2021</v>
      </c>
      <c r="M730" s="8" t="s">
        <v>4655</v>
      </c>
      <c r="N730" s="8" t="s">
        <v>56</v>
      </c>
      <c r="O730" s="8" t="s">
        <v>57</v>
      </c>
      <c r="P730" s="6" t="s">
        <v>42</v>
      </c>
      <c r="Q730" s="8" t="s">
        <v>43</v>
      </c>
      <c r="R730" s="10" t="s">
        <v>4656</v>
      </c>
      <c r="S730" s="11" t="s">
        <v>4657</v>
      </c>
      <c r="T730" s="6"/>
      <c r="U730" s="27" t="str">
        <f>HYPERLINK("https://media.infra-m.ru/1095/1095829/cover/1095829.jpg", "Обложка")</f>
        <v>Обложка</v>
      </c>
      <c r="V730" s="27" t="str">
        <f>HYPERLINK("https://znanium.com/catalog/product/1095829", "Ознакомиться")</f>
        <v>Ознакомиться</v>
      </c>
      <c r="W730" s="8" t="s">
        <v>2962</v>
      </c>
      <c r="X730" s="6"/>
      <c r="Y730" s="6"/>
      <c r="Z730" s="6"/>
      <c r="AA730" s="6" t="s">
        <v>47</v>
      </c>
    </row>
    <row r="731" spans="1:27" s="4" customFormat="1" ht="51.95" customHeight="1">
      <c r="A731" s="5">
        <v>0</v>
      </c>
      <c r="B731" s="6" t="s">
        <v>4658</v>
      </c>
      <c r="C731" s="7">
        <v>804</v>
      </c>
      <c r="D731" s="8" t="s">
        <v>4659</v>
      </c>
      <c r="E731" s="8" t="s">
        <v>4660</v>
      </c>
      <c r="F731" s="8" t="s">
        <v>4661</v>
      </c>
      <c r="G731" s="6" t="s">
        <v>52</v>
      </c>
      <c r="H731" s="6" t="s">
        <v>939</v>
      </c>
      <c r="I731" s="8" t="s">
        <v>4662</v>
      </c>
      <c r="J731" s="9">
        <v>1</v>
      </c>
      <c r="K731" s="9">
        <v>176</v>
      </c>
      <c r="L731" s="9">
        <v>2024</v>
      </c>
      <c r="M731" s="8" t="s">
        <v>4663</v>
      </c>
      <c r="N731" s="8" t="s">
        <v>56</v>
      </c>
      <c r="O731" s="8" t="s">
        <v>57</v>
      </c>
      <c r="P731" s="6" t="s">
        <v>42</v>
      </c>
      <c r="Q731" s="8" t="s">
        <v>654</v>
      </c>
      <c r="R731" s="10" t="s">
        <v>4664</v>
      </c>
      <c r="S731" s="11" t="s">
        <v>4657</v>
      </c>
      <c r="T731" s="6"/>
      <c r="U731" s="27" t="str">
        <f>HYPERLINK("https://media.infra-m.ru/2103/2103138/cover/2103138.jpg", "Обложка")</f>
        <v>Обложка</v>
      </c>
      <c r="V731" s="27" t="str">
        <f>HYPERLINK("https://znanium.com/catalog/product/1012453", "Ознакомиться")</f>
        <v>Ознакомиться</v>
      </c>
      <c r="W731" s="8" t="s">
        <v>2962</v>
      </c>
      <c r="X731" s="6"/>
      <c r="Y731" s="6"/>
      <c r="Z731" s="6"/>
      <c r="AA731" s="6" t="s">
        <v>208</v>
      </c>
    </row>
    <row r="732" spans="1:27" s="4" customFormat="1" ht="51.95" customHeight="1">
      <c r="A732" s="5">
        <v>0</v>
      </c>
      <c r="B732" s="6" t="s">
        <v>4665</v>
      </c>
      <c r="C732" s="13">
        <v>1104</v>
      </c>
      <c r="D732" s="8" t="s">
        <v>4666</v>
      </c>
      <c r="E732" s="8" t="s">
        <v>4667</v>
      </c>
      <c r="F732" s="8" t="s">
        <v>4661</v>
      </c>
      <c r="G732" s="6" t="s">
        <v>52</v>
      </c>
      <c r="H732" s="6" t="s">
        <v>939</v>
      </c>
      <c r="I732" s="8" t="s">
        <v>54</v>
      </c>
      <c r="J732" s="9">
        <v>1</v>
      </c>
      <c r="K732" s="9">
        <v>240</v>
      </c>
      <c r="L732" s="9">
        <v>2024</v>
      </c>
      <c r="M732" s="8" t="s">
        <v>4668</v>
      </c>
      <c r="N732" s="8" t="s">
        <v>56</v>
      </c>
      <c r="O732" s="8" t="s">
        <v>57</v>
      </c>
      <c r="P732" s="6" t="s">
        <v>42</v>
      </c>
      <c r="Q732" s="8" t="s">
        <v>43</v>
      </c>
      <c r="R732" s="10" t="s">
        <v>4669</v>
      </c>
      <c r="S732" s="11" t="s">
        <v>4670</v>
      </c>
      <c r="T732" s="6"/>
      <c r="U732" s="27" t="str">
        <f>HYPERLINK("https://media.infra-m.ru/2044/2044324/cover/2044324.jpg", "Обложка")</f>
        <v>Обложка</v>
      </c>
      <c r="V732" s="12"/>
      <c r="W732" s="8" t="s">
        <v>2962</v>
      </c>
      <c r="X732" s="6"/>
      <c r="Y732" s="6"/>
      <c r="Z732" s="6"/>
      <c r="AA732" s="6" t="s">
        <v>47</v>
      </c>
    </row>
    <row r="733" spans="1:27" s="4" customFormat="1" ht="51.95" customHeight="1">
      <c r="A733" s="5">
        <v>0</v>
      </c>
      <c r="B733" s="6" t="s">
        <v>4671</v>
      </c>
      <c r="C733" s="7">
        <v>794.9</v>
      </c>
      <c r="D733" s="8" t="s">
        <v>4672</v>
      </c>
      <c r="E733" s="8" t="s">
        <v>4673</v>
      </c>
      <c r="F733" s="8" t="s">
        <v>4674</v>
      </c>
      <c r="G733" s="6" t="s">
        <v>52</v>
      </c>
      <c r="H733" s="6" t="s">
        <v>939</v>
      </c>
      <c r="I733" s="8" t="s">
        <v>4675</v>
      </c>
      <c r="J733" s="9">
        <v>1</v>
      </c>
      <c r="K733" s="9">
        <v>176</v>
      </c>
      <c r="L733" s="9">
        <v>2023</v>
      </c>
      <c r="M733" s="8" t="s">
        <v>4676</v>
      </c>
      <c r="N733" s="8" t="s">
        <v>56</v>
      </c>
      <c r="O733" s="8" t="s">
        <v>57</v>
      </c>
      <c r="P733" s="6" t="s">
        <v>42</v>
      </c>
      <c r="Q733" s="8" t="s">
        <v>654</v>
      </c>
      <c r="R733" s="10" t="s">
        <v>4677</v>
      </c>
      <c r="S733" s="11" t="s">
        <v>4657</v>
      </c>
      <c r="T733" s="6"/>
      <c r="U733" s="27" t="str">
        <f>HYPERLINK("https://media.infra-m.ru/1981/1981705/cover/1981705.jpg", "Обложка")</f>
        <v>Обложка</v>
      </c>
      <c r="V733" s="27" t="str">
        <f>HYPERLINK("https://znanium.com/catalog/product/1012430", "Ознакомиться")</f>
        <v>Ознакомиться</v>
      </c>
      <c r="W733" s="8" t="s">
        <v>2962</v>
      </c>
      <c r="X733" s="6"/>
      <c r="Y733" s="6"/>
      <c r="Z733" s="6"/>
      <c r="AA733" s="6" t="s">
        <v>208</v>
      </c>
    </row>
    <row r="734" spans="1:27" s="4" customFormat="1" ht="51.95" customHeight="1">
      <c r="A734" s="5">
        <v>0</v>
      </c>
      <c r="B734" s="6" t="s">
        <v>4678</v>
      </c>
      <c r="C734" s="7">
        <v>880</v>
      </c>
      <c r="D734" s="8" t="s">
        <v>4679</v>
      </c>
      <c r="E734" s="8" t="s">
        <v>4680</v>
      </c>
      <c r="F734" s="8" t="s">
        <v>4681</v>
      </c>
      <c r="G734" s="6" t="s">
        <v>67</v>
      </c>
      <c r="H734" s="6" t="s">
        <v>53</v>
      </c>
      <c r="I734" s="8" t="s">
        <v>165</v>
      </c>
      <c r="J734" s="9">
        <v>1</v>
      </c>
      <c r="K734" s="9">
        <v>231</v>
      </c>
      <c r="L734" s="9">
        <v>2022</v>
      </c>
      <c r="M734" s="8" t="s">
        <v>4682</v>
      </c>
      <c r="N734" s="8" t="s">
        <v>56</v>
      </c>
      <c r="O734" s="8" t="s">
        <v>57</v>
      </c>
      <c r="P734" s="6" t="s">
        <v>69</v>
      </c>
      <c r="Q734" s="8" t="s">
        <v>43</v>
      </c>
      <c r="R734" s="10" t="s">
        <v>4683</v>
      </c>
      <c r="S734" s="11" t="s">
        <v>4684</v>
      </c>
      <c r="T734" s="6" t="s">
        <v>277</v>
      </c>
      <c r="U734" s="27" t="str">
        <f>HYPERLINK("https://media.infra-m.ru/1851/1851438/cover/1851438.jpg", "Обложка")</f>
        <v>Обложка</v>
      </c>
      <c r="V734" s="27" t="str">
        <f>HYPERLINK("https://znanium.com/catalog/product/1851438", "Ознакомиться")</f>
        <v>Ознакомиться</v>
      </c>
      <c r="W734" s="8" t="s">
        <v>2225</v>
      </c>
      <c r="X734" s="6"/>
      <c r="Y734" s="6"/>
      <c r="Z734" s="6"/>
      <c r="AA734" s="6" t="s">
        <v>639</v>
      </c>
    </row>
    <row r="735" spans="1:27" s="4" customFormat="1" ht="51.95" customHeight="1">
      <c r="A735" s="5">
        <v>0</v>
      </c>
      <c r="B735" s="6" t="s">
        <v>4685</v>
      </c>
      <c r="C735" s="13">
        <v>1070</v>
      </c>
      <c r="D735" s="8" t="s">
        <v>4686</v>
      </c>
      <c r="E735" s="8" t="s">
        <v>4680</v>
      </c>
      <c r="F735" s="8" t="s">
        <v>4681</v>
      </c>
      <c r="G735" s="6" t="s">
        <v>67</v>
      </c>
      <c r="H735" s="6" t="s">
        <v>53</v>
      </c>
      <c r="I735" s="8" t="s">
        <v>652</v>
      </c>
      <c r="J735" s="9">
        <v>1</v>
      </c>
      <c r="K735" s="9">
        <v>231</v>
      </c>
      <c r="L735" s="9">
        <v>2024</v>
      </c>
      <c r="M735" s="8" t="s">
        <v>4687</v>
      </c>
      <c r="N735" s="8" t="s">
        <v>56</v>
      </c>
      <c r="O735" s="8" t="s">
        <v>57</v>
      </c>
      <c r="P735" s="6" t="s">
        <v>69</v>
      </c>
      <c r="Q735" s="8" t="s">
        <v>654</v>
      </c>
      <c r="R735" s="10" t="s">
        <v>4688</v>
      </c>
      <c r="S735" s="11" t="s">
        <v>4689</v>
      </c>
      <c r="T735" s="6" t="s">
        <v>277</v>
      </c>
      <c r="U735" s="27" t="str">
        <f>HYPERLINK("https://media.infra-m.ru/2110/2110477/cover/2110477.jpg", "Обложка")</f>
        <v>Обложка</v>
      </c>
      <c r="V735" s="27" t="str">
        <f>HYPERLINK("https://znanium.com/catalog/product/2110477", "Ознакомиться")</f>
        <v>Ознакомиться</v>
      </c>
      <c r="W735" s="8" t="s">
        <v>2225</v>
      </c>
      <c r="X735" s="6"/>
      <c r="Y735" s="6"/>
      <c r="Z735" s="6" t="s">
        <v>657</v>
      </c>
      <c r="AA735" s="6" t="s">
        <v>467</v>
      </c>
    </row>
    <row r="736" spans="1:27" s="4" customFormat="1" ht="51.95" customHeight="1">
      <c r="A736" s="5">
        <v>0</v>
      </c>
      <c r="B736" s="6" t="s">
        <v>4690</v>
      </c>
      <c r="C736" s="13">
        <v>1034</v>
      </c>
      <c r="D736" s="8" t="s">
        <v>4691</v>
      </c>
      <c r="E736" s="8" t="s">
        <v>4692</v>
      </c>
      <c r="F736" s="8" t="s">
        <v>4693</v>
      </c>
      <c r="G736" s="6" t="s">
        <v>67</v>
      </c>
      <c r="H736" s="6" t="s">
        <v>53</v>
      </c>
      <c r="I736" s="8" t="s">
        <v>165</v>
      </c>
      <c r="J736" s="9">
        <v>1</v>
      </c>
      <c r="K736" s="9">
        <v>224</v>
      </c>
      <c r="L736" s="9">
        <v>2024</v>
      </c>
      <c r="M736" s="8" t="s">
        <v>4694</v>
      </c>
      <c r="N736" s="8" t="s">
        <v>56</v>
      </c>
      <c r="O736" s="8" t="s">
        <v>57</v>
      </c>
      <c r="P736" s="6" t="s">
        <v>69</v>
      </c>
      <c r="Q736" s="8" t="s">
        <v>43</v>
      </c>
      <c r="R736" s="10" t="s">
        <v>4695</v>
      </c>
      <c r="S736" s="11" t="s">
        <v>4696</v>
      </c>
      <c r="T736" s="6"/>
      <c r="U736" s="27" t="str">
        <f>HYPERLINK("https://media.infra-m.ru/2053/2053249/cover/2053249.jpg", "Обложка")</f>
        <v>Обложка</v>
      </c>
      <c r="V736" s="27" t="str">
        <f>HYPERLINK("https://znanium.com/catalog/product/1356164", "Ознакомиться")</f>
        <v>Ознакомиться</v>
      </c>
      <c r="W736" s="8" t="s">
        <v>134</v>
      </c>
      <c r="X736" s="6"/>
      <c r="Y736" s="6"/>
      <c r="Z736" s="6"/>
      <c r="AA736" s="6" t="s">
        <v>343</v>
      </c>
    </row>
    <row r="737" spans="1:27" s="4" customFormat="1" ht="44.1" customHeight="1">
      <c r="A737" s="5">
        <v>0</v>
      </c>
      <c r="B737" s="6" t="s">
        <v>4697</v>
      </c>
      <c r="C737" s="7">
        <v>954</v>
      </c>
      <c r="D737" s="8" t="s">
        <v>4698</v>
      </c>
      <c r="E737" s="8" t="s">
        <v>4699</v>
      </c>
      <c r="F737" s="8" t="s">
        <v>4700</v>
      </c>
      <c r="G737" s="6" t="s">
        <v>37</v>
      </c>
      <c r="H737" s="6" t="s">
        <v>867</v>
      </c>
      <c r="I737" s="8" t="s">
        <v>54</v>
      </c>
      <c r="J737" s="9">
        <v>1</v>
      </c>
      <c r="K737" s="9">
        <v>208</v>
      </c>
      <c r="L737" s="9">
        <v>2024</v>
      </c>
      <c r="M737" s="8" t="s">
        <v>4701</v>
      </c>
      <c r="N737" s="8" t="s">
        <v>56</v>
      </c>
      <c r="O737" s="8" t="s">
        <v>57</v>
      </c>
      <c r="P737" s="6" t="s">
        <v>42</v>
      </c>
      <c r="Q737" s="8" t="s">
        <v>43</v>
      </c>
      <c r="R737" s="10" t="s">
        <v>4702</v>
      </c>
      <c r="S737" s="11"/>
      <c r="T737" s="6"/>
      <c r="U737" s="27" t="str">
        <f>HYPERLINK("https://media.infra-m.ru/2063/2063449/cover/2063449.jpg", "Обложка")</f>
        <v>Обложка</v>
      </c>
      <c r="V737" s="27" t="str">
        <f>HYPERLINK("https://znanium.com/catalog/product/929667", "Ознакомиться")</f>
        <v>Ознакомиться</v>
      </c>
      <c r="W737" s="8" t="s">
        <v>4703</v>
      </c>
      <c r="X737" s="6"/>
      <c r="Y737" s="6"/>
      <c r="Z737" s="6"/>
      <c r="AA737" s="6" t="s">
        <v>540</v>
      </c>
    </row>
    <row r="738" spans="1:27" s="4" customFormat="1" ht="51.95" customHeight="1">
      <c r="A738" s="5">
        <v>0</v>
      </c>
      <c r="B738" s="6" t="s">
        <v>4704</v>
      </c>
      <c r="C738" s="7">
        <v>954.9</v>
      </c>
      <c r="D738" s="8" t="s">
        <v>4705</v>
      </c>
      <c r="E738" s="8" t="s">
        <v>4699</v>
      </c>
      <c r="F738" s="8" t="s">
        <v>4706</v>
      </c>
      <c r="G738" s="6" t="s">
        <v>37</v>
      </c>
      <c r="H738" s="6" t="s">
        <v>53</v>
      </c>
      <c r="I738" s="8" t="s">
        <v>165</v>
      </c>
      <c r="J738" s="9">
        <v>1</v>
      </c>
      <c r="K738" s="9">
        <v>252</v>
      </c>
      <c r="L738" s="9">
        <v>2022</v>
      </c>
      <c r="M738" s="8" t="s">
        <v>4707</v>
      </c>
      <c r="N738" s="8" t="s">
        <v>56</v>
      </c>
      <c r="O738" s="8" t="s">
        <v>57</v>
      </c>
      <c r="P738" s="6" t="s">
        <v>42</v>
      </c>
      <c r="Q738" s="8" t="s">
        <v>43</v>
      </c>
      <c r="R738" s="10" t="s">
        <v>4708</v>
      </c>
      <c r="S738" s="11" t="s">
        <v>4709</v>
      </c>
      <c r="T738" s="6"/>
      <c r="U738" s="27" t="str">
        <f>HYPERLINK("https://media.infra-m.ru/1836/1836609/cover/1836609.jpg", "Обложка")</f>
        <v>Обложка</v>
      </c>
      <c r="V738" s="27" t="str">
        <f>HYPERLINK("https://znanium.com/catalog/product/1836609", "Ознакомиться")</f>
        <v>Ознакомиться</v>
      </c>
      <c r="W738" s="8" t="s">
        <v>4710</v>
      </c>
      <c r="X738" s="6"/>
      <c r="Y738" s="6"/>
      <c r="Z738" s="6"/>
      <c r="AA738" s="6" t="s">
        <v>301</v>
      </c>
    </row>
    <row r="739" spans="1:27" s="4" customFormat="1" ht="51.95" customHeight="1">
      <c r="A739" s="5">
        <v>0</v>
      </c>
      <c r="B739" s="6" t="s">
        <v>4711</v>
      </c>
      <c r="C739" s="13">
        <v>1510</v>
      </c>
      <c r="D739" s="8" t="s">
        <v>4712</v>
      </c>
      <c r="E739" s="8" t="s">
        <v>4699</v>
      </c>
      <c r="F739" s="8" t="s">
        <v>4713</v>
      </c>
      <c r="G739" s="6" t="s">
        <v>67</v>
      </c>
      <c r="H739" s="6" t="s">
        <v>939</v>
      </c>
      <c r="I739" s="8" t="s">
        <v>4714</v>
      </c>
      <c r="J739" s="9">
        <v>1</v>
      </c>
      <c r="K739" s="9">
        <v>336</v>
      </c>
      <c r="L739" s="9">
        <v>2022</v>
      </c>
      <c r="M739" s="8" t="s">
        <v>4715</v>
      </c>
      <c r="N739" s="8" t="s">
        <v>56</v>
      </c>
      <c r="O739" s="8" t="s">
        <v>57</v>
      </c>
      <c r="P739" s="6" t="s">
        <v>69</v>
      </c>
      <c r="Q739" s="8" t="s">
        <v>43</v>
      </c>
      <c r="R739" s="10" t="s">
        <v>1245</v>
      </c>
      <c r="S739" s="11" t="s">
        <v>4716</v>
      </c>
      <c r="T739" s="6"/>
      <c r="U739" s="27" t="str">
        <f>HYPERLINK("https://media.infra-m.ru/1948/1948198/cover/1948198.jpg", "Обложка")</f>
        <v>Обложка</v>
      </c>
      <c r="V739" s="27" t="str">
        <f>HYPERLINK("https://znanium.com/catalog/product/2051479", "Ознакомиться")</f>
        <v>Ознакомиться</v>
      </c>
      <c r="W739" s="8"/>
      <c r="X739" s="6"/>
      <c r="Y739" s="6"/>
      <c r="Z739" s="6"/>
      <c r="AA739" s="6" t="s">
        <v>62</v>
      </c>
    </row>
    <row r="740" spans="1:27" s="4" customFormat="1" ht="51.95" customHeight="1">
      <c r="A740" s="5">
        <v>0</v>
      </c>
      <c r="B740" s="6" t="s">
        <v>4717</v>
      </c>
      <c r="C740" s="13">
        <v>1540</v>
      </c>
      <c r="D740" s="8" t="s">
        <v>4718</v>
      </c>
      <c r="E740" s="8" t="s">
        <v>4692</v>
      </c>
      <c r="F740" s="8" t="s">
        <v>4719</v>
      </c>
      <c r="G740" s="6" t="s">
        <v>67</v>
      </c>
      <c r="H740" s="6" t="s">
        <v>53</v>
      </c>
      <c r="I740" s="8" t="s">
        <v>54</v>
      </c>
      <c r="J740" s="9">
        <v>1</v>
      </c>
      <c r="K740" s="9">
        <v>334</v>
      </c>
      <c r="L740" s="9">
        <v>2024</v>
      </c>
      <c r="M740" s="8" t="s">
        <v>4720</v>
      </c>
      <c r="N740" s="8" t="s">
        <v>56</v>
      </c>
      <c r="O740" s="8" t="s">
        <v>57</v>
      </c>
      <c r="P740" s="6" t="s">
        <v>42</v>
      </c>
      <c r="Q740" s="8" t="s">
        <v>43</v>
      </c>
      <c r="R740" s="10" t="s">
        <v>4721</v>
      </c>
      <c r="S740" s="11" t="s">
        <v>4722</v>
      </c>
      <c r="T740" s="6"/>
      <c r="U740" s="27" t="str">
        <f>HYPERLINK("https://media.infra-m.ru/2087/2087316/cover/2087316.jpg", "Обложка")</f>
        <v>Обложка</v>
      </c>
      <c r="V740" s="27" t="str">
        <f>HYPERLINK("https://znanium.com/catalog/product/2087316", "Ознакомиться")</f>
        <v>Ознакомиться</v>
      </c>
      <c r="W740" s="8" t="s">
        <v>4723</v>
      </c>
      <c r="X740" s="6"/>
      <c r="Y740" s="6"/>
      <c r="Z740" s="6"/>
      <c r="AA740" s="6" t="s">
        <v>417</v>
      </c>
    </row>
    <row r="741" spans="1:27" s="4" customFormat="1" ht="51.95" customHeight="1">
      <c r="A741" s="5">
        <v>0</v>
      </c>
      <c r="B741" s="6" t="s">
        <v>4724</v>
      </c>
      <c r="C741" s="7">
        <v>634.9</v>
      </c>
      <c r="D741" s="8" t="s">
        <v>4725</v>
      </c>
      <c r="E741" s="8" t="s">
        <v>4699</v>
      </c>
      <c r="F741" s="8" t="s">
        <v>4726</v>
      </c>
      <c r="G741" s="6" t="s">
        <v>67</v>
      </c>
      <c r="H741" s="6" t="s">
        <v>867</v>
      </c>
      <c r="I741" s="8" t="s">
        <v>54</v>
      </c>
      <c r="J741" s="9">
        <v>1</v>
      </c>
      <c r="K741" s="9">
        <v>176</v>
      </c>
      <c r="L741" s="9">
        <v>2021</v>
      </c>
      <c r="M741" s="8" t="s">
        <v>4727</v>
      </c>
      <c r="N741" s="8" t="s">
        <v>56</v>
      </c>
      <c r="O741" s="8" t="s">
        <v>57</v>
      </c>
      <c r="P741" s="6" t="s">
        <v>42</v>
      </c>
      <c r="Q741" s="8" t="s">
        <v>43</v>
      </c>
      <c r="R741" s="10" t="s">
        <v>4728</v>
      </c>
      <c r="S741" s="11" t="s">
        <v>4729</v>
      </c>
      <c r="T741" s="6"/>
      <c r="U741" s="27" t="str">
        <f>HYPERLINK("https://media.infra-m.ru/1138/1138842/cover/1138842.jpg", "Обложка")</f>
        <v>Обложка</v>
      </c>
      <c r="V741" s="27" t="str">
        <f>HYPERLINK("https://znanium.com/catalog/product/1052442", "Ознакомиться")</f>
        <v>Ознакомиться</v>
      </c>
      <c r="W741" s="8" t="s">
        <v>4730</v>
      </c>
      <c r="X741" s="6"/>
      <c r="Y741" s="6"/>
      <c r="Z741" s="6"/>
      <c r="AA741" s="6" t="s">
        <v>62</v>
      </c>
    </row>
    <row r="742" spans="1:27" s="4" customFormat="1" ht="51.95" customHeight="1">
      <c r="A742" s="5">
        <v>0</v>
      </c>
      <c r="B742" s="6" t="s">
        <v>4731</v>
      </c>
      <c r="C742" s="7">
        <v>733.4</v>
      </c>
      <c r="D742" s="8" t="s">
        <v>4732</v>
      </c>
      <c r="E742" s="8" t="s">
        <v>4699</v>
      </c>
      <c r="F742" s="8" t="s">
        <v>4726</v>
      </c>
      <c r="G742" s="6" t="s">
        <v>67</v>
      </c>
      <c r="H742" s="6" t="s">
        <v>53</v>
      </c>
      <c r="I742" s="8" t="s">
        <v>652</v>
      </c>
      <c r="J742" s="9">
        <v>1</v>
      </c>
      <c r="K742" s="9">
        <v>176</v>
      </c>
      <c r="L742" s="9">
        <v>2022</v>
      </c>
      <c r="M742" s="8" t="s">
        <v>4733</v>
      </c>
      <c r="N742" s="8" t="s">
        <v>56</v>
      </c>
      <c r="O742" s="8" t="s">
        <v>57</v>
      </c>
      <c r="P742" s="6" t="s">
        <v>42</v>
      </c>
      <c r="Q742" s="8" t="s">
        <v>654</v>
      </c>
      <c r="R742" s="10" t="s">
        <v>4734</v>
      </c>
      <c r="S742" s="11" t="s">
        <v>4735</v>
      </c>
      <c r="T742" s="6"/>
      <c r="U742" s="27" t="str">
        <f>HYPERLINK("https://media.infra-m.ru/1853/1853773/cover/1853773.jpg", "Обложка")</f>
        <v>Обложка</v>
      </c>
      <c r="V742" s="27" t="str">
        <f>HYPERLINK("https://znanium.com/catalog/product/1853773", "Ознакомиться")</f>
        <v>Ознакомиться</v>
      </c>
      <c r="W742" s="8" t="s">
        <v>4730</v>
      </c>
      <c r="X742" s="6"/>
      <c r="Y742" s="6"/>
      <c r="Z742" s="6" t="s">
        <v>657</v>
      </c>
      <c r="AA742" s="6" t="s">
        <v>601</v>
      </c>
    </row>
    <row r="743" spans="1:27" s="4" customFormat="1" ht="51.95" customHeight="1">
      <c r="A743" s="5">
        <v>0</v>
      </c>
      <c r="B743" s="6" t="s">
        <v>4736</v>
      </c>
      <c r="C743" s="7">
        <v>980</v>
      </c>
      <c r="D743" s="8" t="s">
        <v>4737</v>
      </c>
      <c r="E743" s="8" t="s">
        <v>4738</v>
      </c>
      <c r="F743" s="8" t="s">
        <v>4739</v>
      </c>
      <c r="G743" s="6" t="s">
        <v>67</v>
      </c>
      <c r="H743" s="6" t="s">
        <v>939</v>
      </c>
      <c r="I743" s="8" t="s">
        <v>652</v>
      </c>
      <c r="J743" s="9">
        <v>1</v>
      </c>
      <c r="K743" s="9">
        <v>217</v>
      </c>
      <c r="L743" s="9">
        <v>2023</v>
      </c>
      <c r="M743" s="8" t="s">
        <v>4740</v>
      </c>
      <c r="N743" s="8" t="s">
        <v>56</v>
      </c>
      <c r="O743" s="8" t="s">
        <v>57</v>
      </c>
      <c r="P743" s="6" t="s">
        <v>42</v>
      </c>
      <c r="Q743" s="8" t="s">
        <v>654</v>
      </c>
      <c r="R743" s="10" t="s">
        <v>4741</v>
      </c>
      <c r="S743" s="11" t="s">
        <v>1946</v>
      </c>
      <c r="T743" s="6" t="s">
        <v>277</v>
      </c>
      <c r="U743" s="27" t="str">
        <f>HYPERLINK("https://media.infra-m.ru/2015/2015303/cover/2015303.jpg", "Обложка")</f>
        <v>Обложка</v>
      </c>
      <c r="V743" s="27" t="str">
        <f>HYPERLINK("https://znanium.com/catalog/product/2015303", "Ознакомиться")</f>
        <v>Ознакомиться</v>
      </c>
      <c r="W743" s="8" t="s">
        <v>46</v>
      </c>
      <c r="X743" s="6"/>
      <c r="Y743" s="6"/>
      <c r="Z743" s="6"/>
      <c r="AA743" s="6" t="s">
        <v>4742</v>
      </c>
    </row>
    <row r="744" spans="1:27" s="4" customFormat="1" ht="51.95" customHeight="1">
      <c r="A744" s="5">
        <v>0</v>
      </c>
      <c r="B744" s="6" t="s">
        <v>4743</v>
      </c>
      <c r="C744" s="13">
        <v>1054</v>
      </c>
      <c r="D744" s="8" t="s">
        <v>4744</v>
      </c>
      <c r="E744" s="8" t="s">
        <v>4745</v>
      </c>
      <c r="F744" s="8" t="s">
        <v>1361</v>
      </c>
      <c r="G744" s="6" t="s">
        <v>67</v>
      </c>
      <c r="H744" s="6" t="s">
        <v>53</v>
      </c>
      <c r="I744" s="8" t="s">
        <v>148</v>
      </c>
      <c r="J744" s="9">
        <v>1</v>
      </c>
      <c r="K744" s="9">
        <v>232</v>
      </c>
      <c r="L744" s="9">
        <v>2023</v>
      </c>
      <c r="M744" s="8" t="s">
        <v>4746</v>
      </c>
      <c r="N744" s="8" t="s">
        <v>56</v>
      </c>
      <c r="O744" s="8" t="s">
        <v>57</v>
      </c>
      <c r="P744" s="6" t="s">
        <v>69</v>
      </c>
      <c r="Q744" s="8" t="s">
        <v>150</v>
      </c>
      <c r="R744" s="10" t="s">
        <v>4747</v>
      </c>
      <c r="S744" s="11" t="s">
        <v>4748</v>
      </c>
      <c r="T744" s="6"/>
      <c r="U744" s="27" t="str">
        <f>HYPERLINK("https://media.infra-m.ru/1995/1995315/cover/1995315.jpg", "Обложка")</f>
        <v>Обложка</v>
      </c>
      <c r="V744" s="27" t="str">
        <f>HYPERLINK("https://znanium.com/catalog/product/1284664", "Ознакомиться")</f>
        <v>Ознакомиться</v>
      </c>
      <c r="W744" s="8" t="s">
        <v>1364</v>
      </c>
      <c r="X744" s="6"/>
      <c r="Y744" s="6"/>
      <c r="Z744" s="6"/>
      <c r="AA744" s="6" t="s">
        <v>73</v>
      </c>
    </row>
    <row r="745" spans="1:27" s="4" customFormat="1" ht="42" customHeight="1">
      <c r="A745" s="5">
        <v>0</v>
      </c>
      <c r="B745" s="6" t="s">
        <v>4749</v>
      </c>
      <c r="C745" s="7">
        <v>790</v>
      </c>
      <c r="D745" s="8" t="s">
        <v>4750</v>
      </c>
      <c r="E745" s="8" t="s">
        <v>4751</v>
      </c>
      <c r="F745" s="8" t="s">
        <v>4419</v>
      </c>
      <c r="G745" s="6" t="s">
        <v>52</v>
      </c>
      <c r="H745" s="6" t="s">
        <v>53</v>
      </c>
      <c r="I745" s="8" t="s">
        <v>114</v>
      </c>
      <c r="J745" s="9">
        <v>1</v>
      </c>
      <c r="K745" s="9">
        <v>208</v>
      </c>
      <c r="L745" s="9">
        <v>2021</v>
      </c>
      <c r="M745" s="8" t="s">
        <v>4752</v>
      </c>
      <c r="N745" s="8" t="s">
        <v>56</v>
      </c>
      <c r="O745" s="8" t="s">
        <v>57</v>
      </c>
      <c r="P745" s="6" t="s">
        <v>116</v>
      </c>
      <c r="Q745" s="8" t="s">
        <v>81</v>
      </c>
      <c r="R745" s="10" t="s">
        <v>4753</v>
      </c>
      <c r="S745" s="11"/>
      <c r="T745" s="6"/>
      <c r="U745" s="27" t="str">
        <f>HYPERLINK("https://media.infra-m.ru/1515/1515074/cover/1515074.jpg", "Обложка")</f>
        <v>Обложка</v>
      </c>
      <c r="V745" s="27" t="str">
        <f>HYPERLINK("https://znanium.com/catalog/product/1515074", "Ознакомиться")</f>
        <v>Ознакомиться</v>
      </c>
      <c r="W745" s="8" t="s">
        <v>3274</v>
      </c>
      <c r="X745" s="6"/>
      <c r="Y745" s="6"/>
      <c r="Z745" s="6"/>
      <c r="AA745" s="6" t="s">
        <v>253</v>
      </c>
    </row>
    <row r="746" spans="1:27" s="4" customFormat="1" ht="51.95" customHeight="1">
      <c r="A746" s="5">
        <v>0</v>
      </c>
      <c r="B746" s="6" t="s">
        <v>4754</v>
      </c>
      <c r="C746" s="13">
        <v>1354.9</v>
      </c>
      <c r="D746" s="8" t="s">
        <v>4755</v>
      </c>
      <c r="E746" s="8" t="s">
        <v>4756</v>
      </c>
      <c r="F746" s="8" t="s">
        <v>4757</v>
      </c>
      <c r="G746" s="6" t="s">
        <v>37</v>
      </c>
      <c r="H746" s="6" t="s">
        <v>53</v>
      </c>
      <c r="I746" s="8" t="s">
        <v>165</v>
      </c>
      <c r="J746" s="9">
        <v>1</v>
      </c>
      <c r="K746" s="9">
        <v>300</v>
      </c>
      <c r="L746" s="9">
        <v>2023</v>
      </c>
      <c r="M746" s="8" t="s">
        <v>4758</v>
      </c>
      <c r="N746" s="8" t="s">
        <v>56</v>
      </c>
      <c r="O746" s="8" t="s">
        <v>57</v>
      </c>
      <c r="P746" s="6" t="s">
        <v>69</v>
      </c>
      <c r="Q746" s="8" t="s">
        <v>43</v>
      </c>
      <c r="R746" s="10" t="s">
        <v>1080</v>
      </c>
      <c r="S746" s="11" t="s">
        <v>4759</v>
      </c>
      <c r="T746" s="6"/>
      <c r="U746" s="27" t="str">
        <f>HYPERLINK("https://media.infra-m.ru/1910/1910656/cover/1910656.jpg", "Обложка")</f>
        <v>Обложка</v>
      </c>
      <c r="V746" s="27" t="str">
        <f>HYPERLINK("https://znanium.com/catalog/product/1993529", "Ознакомиться")</f>
        <v>Ознакомиться</v>
      </c>
      <c r="W746" s="8" t="s">
        <v>261</v>
      </c>
      <c r="X746" s="6"/>
      <c r="Y746" s="6"/>
      <c r="Z746" s="6"/>
      <c r="AA746" s="6" t="s">
        <v>62</v>
      </c>
    </row>
    <row r="747" spans="1:27" s="4" customFormat="1" ht="51.95" customHeight="1">
      <c r="A747" s="5">
        <v>0</v>
      </c>
      <c r="B747" s="6" t="s">
        <v>4760</v>
      </c>
      <c r="C747" s="13">
        <v>1380</v>
      </c>
      <c r="D747" s="8" t="s">
        <v>4761</v>
      </c>
      <c r="E747" s="8" t="s">
        <v>4762</v>
      </c>
      <c r="F747" s="8" t="s">
        <v>4763</v>
      </c>
      <c r="G747" s="6" t="s">
        <v>67</v>
      </c>
      <c r="H747" s="6" t="s">
        <v>53</v>
      </c>
      <c r="I747" s="8" t="s">
        <v>165</v>
      </c>
      <c r="J747" s="9">
        <v>1</v>
      </c>
      <c r="K747" s="9">
        <v>300</v>
      </c>
      <c r="L747" s="9">
        <v>2023</v>
      </c>
      <c r="M747" s="8" t="s">
        <v>4764</v>
      </c>
      <c r="N747" s="8" t="s">
        <v>56</v>
      </c>
      <c r="O747" s="8" t="s">
        <v>57</v>
      </c>
      <c r="P747" s="6" t="s">
        <v>69</v>
      </c>
      <c r="Q747" s="8" t="s">
        <v>43</v>
      </c>
      <c r="R747" s="10" t="s">
        <v>1080</v>
      </c>
      <c r="S747" s="11" t="s">
        <v>4765</v>
      </c>
      <c r="T747" s="6"/>
      <c r="U747" s="27" t="str">
        <f>HYPERLINK("https://media.infra-m.ru/1993/1993529/cover/1993529.jpg", "Обложка")</f>
        <v>Обложка</v>
      </c>
      <c r="V747" s="27" t="str">
        <f>HYPERLINK("https://znanium.com/catalog/product/1993529", "Ознакомиться")</f>
        <v>Ознакомиться</v>
      </c>
      <c r="W747" s="8" t="s">
        <v>261</v>
      </c>
      <c r="X747" s="6" t="s">
        <v>335</v>
      </c>
      <c r="Y747" s="6"/>
      <c r="Z747" s="6"/>
      <c r="AA747" s="6" t="s">
        <v>336</v>
      </c>
    </row>
    <row r="748" spans="1:27" s="4" customFormat="1" ht="51.95" customHeight="1">
      <c r="A748" s="5">
        <v>0</v>
      </c>
      <c r="B748" s="6" t="s">
        <v>4766</v>
      </c>
      <c r="C748" s="7">
        <v>820</v>
      </c>
      <c r="D748" s="8" t="s">
        <v>4767</v>
      </c>
      <c r="E748" s="8" t="s">
        <v>4768</v>
      </c>
      <c r="F748" s="8" t="s">
        <v>4769</v>
      </c>
      <c r="G748" s="6" t="s">
        <v>67</v>
      </c>
      <c r="H748" s="6" t="s">
        <v>53</v>
      </c>
      <c r="I748" s="8" t="s">
        <v>148</v>
      </c>
      <c r="J748" s="9">
        <v>1</v>
      </c>
      <c r="K748" s="9">
        <v>215</v>
      </c>
      <c r="L748" s="9">
        <v>2022</v>
      </c>
      <c r="M748" s="8" t="s">
        <v>4770</v>
      </c>
      <c r="N748" s="8" t="s">
        <v>56</v>
      </c>
      <c r="O748" s="8" t="s">
        <v>57</v>
      </c>
      <c r="P748" s="6" t="s">
        <v>69</v>
      </c>
      <c r="Q748" s="8" t="s">
        <v>150</v>
      </c>
      <c r="R748" s="10" t="s">
        <v>4771</v>
      </c>
      <c r="S748" s="11" t="s">
        <v>4772</v>
      </c>
      <c r="T748" s="6"/>
      <c r="U748" s="27" t="str">
        <f>HYPERLINK("https://media.infra-m.ru/1852/1852179/cover/1852179.jpg", "Обложка")</f>
        <v>Обложка</v>
      </c>
      <c r="V748" s="27" t="str">
        <f>HYPERLINK("https://znanium.com/catalog/product/1852179", "Ознакомиться")</f>
        <v>Ознакомиться</v>
      </c>
      <c r="W748" s="8" t="s">
        <v>1155</v>
      </c>
      <c r="X748" s="6"/>
      <c r="Y748" s="6"/>
      <c r="Z748" s="6"/>
      <c r="AA748" s="6" t="s">
        <v>601</v>
      </c>
    </row>
    <row r="749" spans="1:27" s="4" customFormat="1" ht="44.1" customHeight="1">
      <c r="A749" s="5">
        <v>0</v>
      </c>
      <c r="B749" s="6" t="s">
        <v>4773</v>
      </c>
      <c r="C749" s="7">
        <v>824.9</v>
      </c>
      <c r="D749" s="8" t="s">
        <v>4774</v>
      </c>
      <c r="E749" s="8" t="s">
        <v>4775</v>
      </c>
      <c r="F749" s="8" t="s">
        <v>4776</v>
      </c>
      <c r="G749" s="6" t="s">
        <v>52</v>
      </c>
      <c r="H749" s="6" t="s">
        <v>98</v>
      </c>
      <c r="I749" s="8" t="s">
        <v>704</v>
      </c>
      <c r="J749" s="9">
        <v>1</v>
      </c>
      <c r="K749" s="9">
        <v>242</v>
      </c>
      <c r="L749" s="9">
        <v>2020</v>
      </c>
      <c r="M749" s="8" t="s">
        <v>4777</v>
      </c>
      <c r="N749" s="8" t="s">
        <v>56</v>
      </c>
      <c r="O749" s="8" t="s">
        <v>57</v>
      </c>
      <c r="P749" s="6" t="s">
        <v>42</v>
      </c>
      <c r="Q749" s="8" t="s">
        <v>81</v>
      </c>
      <c r="R749" s="10" t="s">
        <v>371</v>
      </c>
      <c r="S749" s="11"/>
      <c r="T749" s="6"/>
      <c r="U749" s="27" t="str">
        <f>HYPERLINK("https://media.infra-m.ru/1083/1083442/cover/1083442.jpg", "Обложка")</f>
        <v>Обложка</v>
      </c>
      <c r="V749" s="27" t="str">
        <f>HYPERLINK("https://znanium.com/catalog/product/942745", "Ознакомиться")</f>
        <v>Ознакомиться</v>
      </c>
      <c r="W749" s="8" t="s">
        <v>118</v>
      </c>
      <c r="X749" s="6"/>
      <c r="Y749" s="6"/>
      <c r="Z749" s="6"/>
      <c r="AA749" s="6" t="s">
        <v>208</v>
      </c>
    </row>
    <row r="750" spans="1:27" s="4" customFormat="1" ht="51.95" customHeight="1">
      <c r="A750" s="5">
        <v>0</v>
      </c>
      <c r="B750" s="6" t="s">
        <v>4778</v>
      </c>
      <c r="C750" s="13">
        <v>1174</v>
      </c>
      <c r="D750" s="8" t="s">
        <v>4779</v>
      </c>
      <c r="E750" s="8" t="s">
        <v>4780</v>
      </c>
      <c r="F750" s="8" t="s">
        <v>4781</v>
      </c>
      <c r="G750" s="6" t="s">
        <v>37</v>
      </c>
      <c r="H750" s="6" t="s">
        <v>265</v>
      </c>
      <c r="I750" s="8" t="s">
        <v>54</v>
      </c>
      <c r="J750" s="9">
        <v>1</v>
      </c>
      <c r="K750" s="9">
        <v>256</v>
      </c>
      <c r="L750" s="9">
        <v>2024</v>
      </c>
      <c r="M750" s="8" t="s">
        <v>4782</v>
      </c>
      <c r="N750" s="8" t="s">
        <v>56</v>
      </c>
      <c r="O750" s="8" t="s">
        <v>57</v>
      </c>
      <c r="P750" s="6" t="s">
        <v>42</v>
      </c>
      <c r="Q750" s="8" t="s">
        <v>43</v>
      </c>
      <c r="R750" s="10" t="s">
        <v>4783</v>
      </c>
      <c r="S750" s="11" t="s">
        <v>4784</v>
      </c>
      <c r="T750" s="6"/>
      <c r="U750" s="27" t="str">
        <f>HYPERLINK("https://media.infra-m.ru/2082/2082880/cover/2082880.jpg", "Обложка")</f>
        <v>Обложка</v>
      </c>
      <c r="V750" s="27" t="str">
        <f>HYPERLINK("https://znanium.com/catalog/product/1217284", "Ознакомиться")</f>
        <v>Ознакомиться</v>
      </c>
      <c r="W750" s="8" t="s">
        <v>269</v>
      </c>
      <c r="X750" s="6"/>
      <c r="Y750" s="6"/>
      <c r="Z750" s="6"/>
      <c r="AA750" s="6" t="s">
        <v>62</v>
      </c>
    </row>
    <row r="751" spans="1:27" s="4" customFormat="1" ht="51.95" customHeight="1">
      <c r="A751" s="5">
        <v>0</v>
      </c>
      <c r="B751" s="6" t="s">
        <v>4785</v>
      </c>
      <c r="C751" s="13">
        <v>1174</v>
      </c>
      <c r="D751" s="8" t="s">
        <v>4786</v>
      </c>
      <c r="E751" s="8" t="s">
        <v>4787</v>
      </c>
      <c r="F751" s="8" t="s">
        <v>4788</v>
      </c>
      <c r="G751" s="6" t="s">
        <v>37</v>
      </c>
      <c r="H751" s="6" t="s">
        <v>53</v>
      </c>
      <c r="I751" s="8" t="s">
        <v>165</v>
      </c>
      <c r="J751" s="9">
        <v>1</v>
      </c>
      <c r="K751" s="9">
        <v>256</v>
      </c>
      <c r="L751" s="9">
        <v>2024</v>
      </c>
      <c r="M751" s="8" t="s">
        <v>4789</v>
      </c>
      <c r="N751" s="8" t="s">
        <v>56</v>
      </c>
      <c r="O751" s="8" t="s">
        <v>57</v>
      </c>
      <c r="P751" s="6" t="s">
        <v>42</v>
      </c>
      <c r="Q751" s="8" t="s">
        <v>43</v>
      </c>
      <c r="R751" s="10" t="s">
        <v>4790</v>
      </c>
      <c r="S751" s="11" t="s">
        <v>3889</v>
      </c>
      <c r="T751" s="6"/>
      <c r="U751" s="27" t="str">
        <f>HYPERLINK("https://media.infra-m.ru/2102/2102688/cover/2102688.jpg", "Обложка")</f>
        <v>Обложка</v>
      </c>
      <c r="V751" s="27" t="str">
        <f>HYPERLINK("https://znanium.com/catalog/product/1843604", "Ознакомиться")</f>
        <v>Ознакомиться</v>
      </c>
      <c r="W751" s="8" t="s">
        <v>72</v>
      </c>
      <c r="X751" s="6"/>
      <c r="Y751" s="6"/>
      <c r="Z751" s="6"/>
      <c r="AA751" s="6" t="s">
        <v>62</v>
      </c>
    </row>
    <row r="752" spans="1:27" s="4" customFormat="1" ht="51.95" customHeight="1">
      <c r="A752" s="5">
        <v>0</v>
      </c>
      <c r="B752" s="6" t="s">
        <v>4791</v>
      </c>
      <c r="C752" s="7">
        <v>784.9</v>
      </c>
      <c r="D752" s="8" t="s">
        <v>4792</v>
      </c>
      <c r="E752" s="8" t="s">
        <v>4793</v>
      </c>
      <c r="F752" s="8" t="s">
        <v>4794</v>
      </c>
      <c r="G752" s="6" t="s">
        <v>37</v>
      </c>
      <c r="H752" s="6" t="s">
        <v>53</v>
      </c>
      <c r="I752" s="8" t="s">
        <v>165</v>
      </c>
      <c r="J752" s="9">
        <v>1</v>
      </c>
      <c r="K752" s="9">
        <v>174</v>
      </c>
      <c r="L752" s="9">
        <v>2023</v>
      </c>
      <c r="M752" s="8" t="s">
        <v>4795</v>
      </c>
      <c r="N752" s="8" t="s">
        <v>56</v>
      </c>
      <c r="O752" s="8" t="s">
        <v>57</v>
      </c>
      <c r="P752" s="6" t="s">
        <v>42</v>
      </c>
      <c r="Q752" s="8" t="s">
        <v>43</v>
      </c>
      <c r="R752" s="10" t="s">
        <v>132</v>
      </c>
      <c r="S752" s="11" t="s">
        <v>4796</v>
      </c>
      <c r="T752" s="6" t="s">
        <v>277</v>
      </c>
      <c r="U752" s="27" t="str">
        <f>HYPERLINK("https://media.infra-m.ru/1903/1903900/cover/1903900.jpg", "Обложка")</f>
        <v>Обложка</v>
      </c>
      <c r="V752" s="27" t="str">
        <f>HYPERLINK("https://znanium.com/catalog/product/1361641", "Ознакомиться")</f>
        <v>Ознакомиться</v>
      </c>
      <c r="W752" s="8" t="s">
        <v>942</v>
      </c>
      <c r="X752" s="6"/>
      <c r="Y752" s="6"/>
      <c r="Z752" s="6"/>
      <c r="AA752" s="6" t="s">
        <v>84</v>
      </c>
    </row>
    <row r="753" spans="1:27" s="4" customFormat="1" ht="51.95" customHeight="1">
      <c r="A753" s="5">
        <v>0</v>
      </c>
      <c r="B753" s="6" t="s">
        <v>4797</v>
      </c>
      <c r="C753" s="7">
        <v>724</v>
      </c>
      <c r="D753" s="8" t="s">
        <v>4798</v>
      </c>
      <c r="E753" s="8" t="s">
        <v>4799</v>
      </c>
      <c r="F753" s="8" t="s">
        <v>4800</v>
      </c>
      <c r="G753" s="6" t="s">
        <v>52</v>
      </c>
      <c r="H753" s="6" t="s">
        <v>53</v>
      </c>
      <c r="I753" s="8" t="s">
        <v>114</v>
      </c>
      <c r="J753" s="9">
        <v>1</v>
      </c>
      <c r="K753" s="9">
        <v>158</v>
      </c>
      <c r="L753" s="9">
        <v>2023</v>
      </c>
      <c r="M753" s="8" t="s">
        <v>4801</v>
      </c>
      <c r="N753" s="8" t="s">
        <v>56</v>
      </c>
      <c r="O753" s="8" t="s">
        <v>57</v>
      </c>
      <c r="P753" s="6" t="s">
        <v>116</v>
      </c>
      <c r="Q753" s="8" t="s">
        <v>81</v>
      </c>
      <c r="R753" s="10" t="s">
        <v>241</v>
      </c>
      <c r="S753" s="11"/>
      <c r="T753" s="6"/>
      <c r="U753" s="27" t="str">
        <f>HYPERLINK("https://media.infra-m.ru/2023/2023204/cover/2023204.jpg", "Обложка")</f>
        <v>Обложка</v>
      </c>
      <c r="V753" s="27" t="str">
        <f>HYPERLINK("https://znanium.com/catalog/product/972746", "Ознакомиться")</f>
        <v>Ознакомиться</v>
      </c>
      <c r="W753" s="8" t="s">
        <v>169</v>
      </c>
      <c r="X753" s="6"/>
      <c r="Y753" s="6"/>
      <c r="Z753" s="6"/>
      <c r="AA753" s="6" t="s">
        <v>510</v>
      </c>
    </row>
    <row r="754" spans="1:27" s="4" customFormat="1" ht="42" customHeight="1">
      <c r="A754" s="5">
        <v>0</v>
      </c>
      <c r="B754" s="6" t="s">
        <v>4802</v>
      </c>
      <c r="C754" s="7">
        <v>770</v>
      </c>
      <c r="D754" s="8" t="s">
        <v>4803</v>
      </c>
      <c r="E754" s="8" t="s">
        <v>4804</v>
      </c>
      <c r="F754" s="8" t="s">
        <v>4805</v>
      </c>
      <c r="G754" s="6" t="s">
        <v>52</v>
      </c>
      <c r="H754" s="6" t="s">
        <v>53</v>
      </c>
      <c r="I754" s="8" t="s">
        <v>114</v>
      </c>
      <c r="J754" s="9">
        <v>1</v>
      </c>
      <c r="K754" s="9">
        <v>201</v>
      </c>
      <c r="L754" s="9">
        <v>2021</v>
      </c>
      <c r="M754" s="8" t="s">
        <v>4806</v>
      </c>
      <c r="N754" s="8" t="s">
        <v>56</v>
      </c>
      <c r="O754" s="8" t="s">
        <v>57</v>
      </c>
      <c r="P754" s="6" t="s">
        <v>116</v>
      </c>
      <c r="Q754" s="8" t="s">
        <v>81</v>
      </c>
      <c r="R754" s="10" t="s">
        <v>4807</v>
      </c>
      <c r="S754" s="11"/>
      <c r="T754" s="6"/>
      <c r="U754" s="27" t="str">
        <f>HYPERLINK("https://media.infra-m.ru/1509/1509723/cover/1509723.jpg", "Обложка")</f>
        <v>Обложка</v>
      </c>
      <c r="V754" s="27" t="str">
        <f>HYPERLINK("https://znanium.com/catalog/product/1064961", "Ознакомиться")</f>
        <v>Ознакомиться</v>
      </c>
      <c r="W754" s="8" t="s">
        <v>4808</v>
      </c>
      <c r="X754" s="6"/>
      <c r="Y754" s="6"/>
      <c r="Z754" s="6"/>
      <c r="AA754" s="6" t="s">
        <v>601</v>
      </c>
    </row>
    <row r="755" spans="1:27" s="4" customFormat="1" ht="51.95" customHeight="1">
      <c r="A755" s="5">
        <v>0</v>
      </c>
      <c r="B755" s="6" t="s">
        <v>4809</v>
      </c>
      <c r="C755" s="13">
        <v>1630</v>
      </c>
      <c r="D755" s="8" t="s">
        <v>4810</v>
      </c>
      <c r="E755" s="8" t="s">
        <v>4811</v>
      </c>
      <c r="F755" s="8" t="s">
        <v>4805</v>
      </c>
      <c r="G755" s="6" t="s">
        <v>67</v>
      </c>
      <c r="H755" s="6" t="s">
        <v>53</v>
      </c>
      <c r="I755" s="8" t="s">
        <v>165</v>
      </c>
      <c r="J755" s="9">
        <v>1</v>
      </c>
      <c r="K755" s="9">
        <v>428</v>
      </c>
      <c r="L755" s="9">
        <v>2021</v>
      </c>
      <c r="M755" s="8" t="s">
        <v>4812</v>
      </c>
      <c r="N755" s="8" t="s">
        <v>56</v>
      </c>
      <c r="O755" s="8" t="s">
        <v>57</v>
      </c>
      <c r="P755" s="6" t="s">
        <v>69</v>
      </c>
      <c r="Q755" s="8" t="s">
        <v>58</v>
      </c>
      <c r="R755" s="10" t="s">
        <v>1232</v>
      </c>
      <c r="S755" s="11" t="s">
        <v>4813</v>
      </c>
      <c r="T755" s="6"/>
      <c r="U755" s="27" t="str">
        <f>HYPERLINK("https://media.infra-m.ru/1839/1839591/cover/1839591.jpg", "Обложка")</f>
        <v>Обложка</v>
      </c>
      <c r="V755" s="27" t="str">
        <f>HYPERLINK("https://znanium.com/catalog/product/1524028", "Ознакомиться")</f>
        <v>Ознакомиться</v>
      </c>
      <c r="W755" s="8" t="s">
        <v>4808</v>
      </c>
      <c r="X755" s="6"/>
      <c r="Y755" s="6"/>
      <c r="Z755" s="6"/>
      <c r="AA755" s="6" t="s">
        <v>143</v>
      </c>
    </row>
    <row r="756" spans="1:27" s="4" customFormat="1" ht="51.95" customHeight="1">
      <c r="A756" s="5">
        <v>0</v>
      </c>
      <c r="B756" s="6" t="s">
        <v>4814</v>
      </c>
      <c r="C756" s="13">
        <v>1294</v>
      </c>
      <c r="D756" s="8" t="s">
        <v>4815</v>
      </c>
      <c r="E756" s="8" t="s">
        <v>4816</v>
      </c>
      <c r="F756" s="8" t="s">
        <v>4817</v>
      </c>
      <c r="G756" s="6" t="s">
        <v>37</v>
      </c>
      <c r="H756" s="6" t="s">
        <v>867</v>
      </c>
      <c r="I756" s="8" t="s">
        <v>4818</v>
      </c>
      <c r="J756" s="9">
        <v>1</v>
      </c>
      <c r="K756" s="9">
        <v>287</v>
      </c>
      <c r="L756" s="9">
        <v>2023</v>
      </c>
      <c r="M756" s="8" t="s">
        <v>4819</v>
      </c>
      <c r="N756" s="8" t="s">
        <v>56</v>
      </c>
      <c r="O756" s="8" t="s">
        <v>57</v>
      </c>
      <c r="P756" s="6" t="s">
        <v>42</v>
      </c>
      <c r="Q756" s="8" t="s">
        <v>43</v>
      </c>
      <c r="R756" s="10" t="s">
        <v>4820</v>
      </c>
      <c r="S756" s="11" t="s">
        <v>4821</v>
      </c>
      <c r="T756" s="6"/>
      <c r="U756" s="27" t="str">
        <f>HYPERLINK("https://media.infra-m.ru/1914/1914138/cover/1914138.jpg", "Обложка")</f>
        <v>Обложка</v>
      </c>
      <c r="V756" s="27" t="str">
        <f>HYPERLINK("https://znanium.com/catalog/product/1816976", "Ознакомиться")</f>
        <v>Ознакомиться</v>
      </c>
      <c r="W756" s="8" t="s">
        <v>2649</v>
      </c>
      <c r="X756" s="6"/>
      <c r="Y756" s="6"/>
      <c r="Z756" s="6"/>
      <c r="AA756" s="6" t="s">
        <v>301</v>
      </c>
    </row>
    <row r="757" spans="1:27" s="4" customFormat="1" ht="42" customHeight="1">
      <c r="A757" s="5">
        <v>0</v>
      </c>
      <c r="B757" s="6" t="s">
        <v>4822</v>
      </c>
      <c r="C757" s="7">
        <v>764</v>
      </c>
      <c r="D757" s="8" t="s">
        <v>4823</v>
      </c>
      <c r="E757" s="8" t="s">
        <v>4824</v>
      </c>
      <c r="F757" s="8" t="s">
        <v>4825</v>
      </c>
      <c r="G757" s="6" t="s">
        <v>52</v>
      </c>
      <c r="H757" s="6" t="s">
        <v>53</v>
      </c>
      <c r="I757" s="8" t="s">
        <v>114</v>
      </c>
      <c r="J757" s="9">
        <v>1</v>
      </c>
      <c r="K757" s="9">
        <v>167</v>
      </c>
      <c r="L757" s="9">
        <v>2024</v>
      </c>
      <c r="M757" s="8" t="s">
        <v>4826</v>
      </c>
      <c r="N757" s="8" t="s">
        <v>56</v>
      </c>
      <c r="O757" s="8" t="s">
        <v>57</v>
      </c>
      <c r="P757" s="6" t="s">
        <v>116</v>
      </c>
      <c r="Q757" s="8" t="s">
        <v>81</v>
      </c>
      <c r="R757" s="10" t="s">
        <v>2394</v>
      </c>
      <c r="S757" s="11"/>
      <c r="T757" s="6"/>
      <c r="U757" s="27" t="str">
        <f>HYPERLINK("https://media.infra-m.ru/2079/2079334/cover/2079334.jpg", "Обложка")</f>
        <v>Обложка</v>
      </c>
      <c r="V757" s="27" t="str">
        <f>HYPERLINK("https://znanium.com/catalog/product/1072301", "Ознакомиться")</f>
        <v>Ознакомиться</v>
      </c>
      <c r="W757" s="8" t="s">
        <v>4827</v>
      </c>
      <c r="X757" s="6"/>
      <c r="Y757" s="6"/>
      <c r="Z757" s="6"/>
      <c r="AA757" s="6" t="s">
        <v>308</v>
      </c>
    </row>
    <row r="758" spans="1:27" s="4" customFormat="1" ht="42" customHeight="1">
      <c r="A758" s="5">
        <v>0</v>
      </c>
      <c r="B758" s="6" t="s">
        <v>4828</v>
      </c>
      <c r="C758" s="13">
        <v>1274.9000000000001</v>
      </c>
      <c r="D758" s="8" t="s">
        <v>4829</v>
      </c>
      <c r="E758" s="8" t="s">
        <v>4830</v>
      </c>
      <c r="F758" s="8" t="s">
        <v>4831</v>
      </c>
      <c r="G758" s="6" t="s">
        <v>37</v>
      </c>
      <c r="H758" s="6" t="s">
        <v>53</v>
      </c>
      <c r="I758" s="8" t="s">
        <v>148</v>
      </c>
      <c r="J758" s="9">
        <v>1</v>
      </c>
      <c r="K758" s="9">
        <v>336</v>
      </c>
      <c r="L758" s="9">
        <v>2022</v>
      </c>
      <c r="M758" s="8" t="s">
        <v>4832</v>
      </c>
      <c r="N758" s="8" t="s">
        <v>56</v>
      </c>
      <c r="O758" s="8" t="s">
        <v>57</v>
      </c>
      <c r="P758" s="6" t="s">
        <v>69</v>
      </c>
      <c r="Q758" s="8" t="s">
        <v>150</v>
      </c>
      <c r="R758" s="10" t="s">
        <v>132</v>
      </c>
      <c r="S758" s="11"/>
      <c r="T758" s="6" t="s">
        <v>277</v>
      </c>
      <c r="U758" s="27" t="str">
        <f>HYPERLINK("https://media.infra-m.ru/1844/1844310/cover/1844310.jpg", "Обложка")</f>
        <v>Обложка</v>
      </c>
      <c r="V758" s="27" t="str">
        <f>HYPERLINK("https://znanium.com/catalog/product/1844310", "Ознакомиться")</f>
        <v>Ознакомиться</v>
      </c>
      <c r="W758" s="8" t="s">
        <v>1286</v>
      </c>
      <c r="X758" s="6"/>
      <c r="Y758" s="6"/>
      <c r="Z758" s="6"/>
      <c r="AA758" s="6" t="s">
        <v>208</v>
      </c>
    </row>
    <row r="759" spans="1:27" s="4" customFormat="1" ht="51.95" customHeight="1">
      <c r="A759" s="5">
        <v>0</v>
      </c>
      <c r="B759" s="6" t="s">
        <v>4833</v>
      </c>
      <c r="C759" s="13">
        <v>1904</v>
      </c>
      <c r="D759" s="8" t="s">
        <v>4834</v>
      </c>
      <c r="E759" s="8" t="s">
        <v>4835</v>
      </c>
      <c r="F759" s="8" t="s">
        <v>4836</v>
      </c>
      <c r="G759" s="6" t="s">
        <v>37</v>
      </c>
      <c r="H759" s="6" t="s">
        <v>53</v>
      </c>
      <c r="I759" s="8" t="s">
        <v>165</v>
      </c>
      <c r="J759" s="9">
        <v>1</v>
      </c>
      <c r="K759" s="9">
        <v>478</v>
      </c>
      <c r="L759" s="9">
        <v>2024</v>
      </c>
      <c r="M759" s="8" t="s">
        <v>4837</v>
      </c>
      <c r="N759" s="8" t="s">
        <v>56</v>
      </c>
      <c r="O759" s="8" t="s">
        <v>57</v>
      </c>
      <c r="P759" s="6" t="s">
        <v>69</v>
      </c>
      <c r="Q759" s="8" t="s">
        <v>43</v>
      </c>
      <c r="R759" s="10" t="s">
        <v>132</v>
      </c>
      <c r="S759" s="11" t="s">
        <v>4838</v>
      </c>
      <c r="T759" s="6"/>
      <c r="U759" s="27" t="str">
        <f>HYPERLINK("https://media.infra-m.ru/2091/2091933/cover/2091933.jpg", "Обложка")</f>
        <v>Обложка</v>
      </c>
      <c r="V759" s="27" t="str">
        <f>HYPERLINK("https://znanium.com/catalog/product/1018440", "Ознакомиться")</f>
        <v>Ознакомиться</v>
      </c>
      <c r="W759" s="8" t="s">
        <v>487</v>
      </c>
      <c r="X759" s="6"/>
      <c r="Y759" s="6"/>
      <c r="Z759" s="6"/>
      <c r="AA759" s="6" t="s">
        <v>208</v>
      </c>
    </row>
    <row r="760" spans="1:27" s="4" customFormat="1" ht="51.95" customHeight="1">
      <c r="A760" s="5">
        <v>0</v>
      </c>
      <c r="B760" s="6" t="s">
        <v>4839</v>
      </c>
      <c r="C760" s="7">
        <v>950</v>
      </c>
      <c r="D760" s="8" t="s">
        <v>4840</v>
      </c>
      <c r="E760" s="8" t="s">
        <v>4841</v>
      </c>
      <c r="F760" s="8" t="s">
        <v>4842</v>
      </c>
      <c r="G760" s="6" t="s">
        <v>52</v>
      </c>
      <c r="H760" s="6" t="s">
        <v>53</v>
      </c>
      <c r="I760" s="8" t="s">
        <v>114</v>
      </c>
      <c r="J760" s="9">
        <v>1</v>
      </c>
      <c r="K760" s="9">
        <v>205</v>
      </c>
      <c r="L760" s="9">
        <v>2023</v>
      </c>
      <c r="M760" s="8" t="s">
        <v>4843</v>
      </c>
      <c r="N760" s="8" t="s">
        <v>56</v>
      </c>
      <c r="O760" s="8" t="s">
        <v>57</v>
      </c>
      <c r="P760" s="6" t="s">
        <v>116</v>
      </c>
      <c r="Q760" s="8" t="s">
        <v>81</v>
      </c>
      <c r="R760" s="10" t="s">
        <v>4844</v>
      </c>
      <c r="S760" s="11"/>
      <c r="T760" s="6"/>
      <c r="U760" s="27" t="str">
        <f>HYPERLINK("https://media.infra-m.ru/1902/1902742/cover/1902742.jpg", "Обложка")</f>
        <v>Обложка</v>
      </c>
      <c r="V760" s="27" t="str">
        <f>HYPERLINK("https://znanium.com/catalog/product/1902742", "Ознакомиться")</f>
        <v>Ознакомиться</v>
      </c>
      <c r="W760" s="8" t="s">
        <v>1155</v>
      </c>
      <c r="X760" s="6" t="s">
        <v>1132</v>
      </c>
      <c r="Y760" s="6"/>
      <c r="Z760" s="6"/>
      <c r="AA760" s="6" t="s">
        <v>93</v>
      </c>
    </row>
    <row r="761" spans="1:27" s="4" customFormat="1" ht="51.95" customHeight="1">
      <c r="A761" s="5">
        <v>0</v>
      </c>
      <c r="B761" s="6" t="s">
        <v>4845</v>
      </c>
      <c r="C761" s="7">
        <v>774.9</v>
      </c>
      <c r="D761" s="8" t="s">
        <v>4846</v>
      </c>
      <c r="E761" s="8" t="s">
        <v>4847</v>
      </c>
      <c r="F761" s="8" t="s">
        <v>4848</v>
      </c>
      <c r="G761" s="6" t="s">
        <v>52</v>
      </c>
      <c r="H761" s="6" t="s">
        <v>53</v>
      </c>
      <c r="I761" s="8" t="s">
        <v>114</v>
      </c>
      <c r="J761" s="9">
        <v>1</v>
      </c>
      <c r="K761" s="9">
        <v>198</v>
      </c>
      <c r="L761" s="9">
        <v>2022</v>
      </c>
      <c r="M761" s="8" t="s">
        <v>4849</v>
      </c>
      <c r="N761" s="8" t="s">
        <v>56</v>
      </c>
      <c r="O761" s="8" t="s">
        <v>57</v>
      </c>
      <c r="P761" s="6" t="s">
        <v>116</v>
      </c>
      <c r="Q761" s="8" t="s">
        <v>81</v>
      </c>
      <c r="R761" s="10" t="s">
        <v>4850</v>
      </c>
      <c r="S761" s="11"/>
      <c r="T761" s="6"/>
      <c r="U761" s="27" t="str">
        <f>HYPERLINK("https://media.infra-m.ru/1851/1851451/cover/1851451.jpg", "Обложка")</f>
        <v>Обложка</v>
      </c>
      <c r="V761" s="27" t="str">
        <f>HYPERLINK("https://znanium.com/catalog/product/1851451", "Ознакомиться")</f>
        <v>Ознакомиться</v>
      </c>
      <c r="W761" s="8" t="s">
        <v>1596</v>
      </c>
      <c r="X761" s="6"/>
      <c r="Y761" s="6"/>
      <c r="Z761" s="6"/>
      <c r="AA761" s="6" t="s">
        <v>47</v>
      </c>
    </row>
    <row r="762" spans="1:27" s="4" customFormat="1" ht="51.95" customHeight="1">
      <c r="A762" s="5">
        <v>0</v>
      </c>
      <c r="B762" s="6" t="s">
        <v>4851</v>
      </c>
      <c r="C762" s="13">
        <v>1304.9000000000001</v>
      </c>
      <c r="D762" s="8" t="s">
        <v>4852</v>
      </c>
      <c r="E762" s="8" t="s">
        <v>4853</v>
      </c>
      <c r="F762" s="8" t="s">
        <v>4854</v>
      </c>
      <c r="G762" s="6" t="s">
        <v>67</v>
      </c>
      <c r="H762" s="6" t="s">
        <v>53</v>
      </c>
      <c r="I762" s="8" t="s">
        <v>114</v>
      </c>
      <c r="J762" s="9">
        <v>1</v>
      </c>
      <c r="K762" s="9">
        <v>290</v>
      </c>
      <c r="L762" s="9">
        <v>2023</v>
      </c>
      <c r="M762" s="8" t="s">
        <v>4855</v>
      </c>
      <c r="N762" s="8" t="s">
        <v>56</v>
      </c>
      <c r="O762" s="8" t="s">
        <v>57</v>
      </c>
      <c r="P762" s="6" t="s">
        <v>116</v>
      </c>
      <c r="Q762" s="8" t="s">
        <v>81</v>
      </c>
      <c r="R762" s="10" t="s">
        <v>4856</v>
      </c>
      <c r="S762" s="11"/>
      <c r="T762" s="6"/>
      <c r="U762" s="27" t="str">
        <f>HYPERLINK("https://media.infra-m.ru/2017/2017323/cover/2017323.jpg", "Обложка")</f>
        <v>Обложка</v>
      </c>
      <c r="V762" s="27" t="str">
        <f>HYPERLINK("https://znanium.com/catalog/product/1817544", "Ознакомиться")</f>
        <v>Ознакомиться</v>
      </c>
      <c r="W762" s="8" t="s">
        <v>1748</v>
      </c>
      <c r="X762" s="6"/>
      <c r="Y762" s="6"/>
      <c r="Z762" s="6"/>
      <c r="AA762" s="6" t="s">
        <v>73</v>
      </c>
    </row>
    <row r="763" spans="1:27" s="4" customFormat="1" ht="44.1" customHeight="1">
      <c r="A763" s="5">
        <v>0</v>
      </c>
      <c r="B763" s="6" t="s">
        <v>4857</v>
      </c>
      <c r="C763" s="13">
        <v>1364</v>
      </c>
      <c r="D763" s="8" t="s">
        <v>4858</v>
      </c>
      <c r="E763" s="8" t="s">
        <v>4859</v>
      </c>
      <c r="F763" s="8" t="s">
        <v>4860</v>
      </c>
      <c r="G763" s="6" t="s">
        <v>37</v>
      </c>
      <c r="H763" s="6" t="s">
        <v>53</v>
      </c>
      <c r="I763" s="8" t="s">
        <v>114</v>
      </c>
      <c r="J763" s="9">
        <v>1</v>
      </c>
      <c r="K763" s="9">
        <v>297</v>
      </c>
      <c r="L763" s="9">
        <v>2023</v>
      </c>
      <c r="M763" s="8" t="s">
        <v>4861</v>
      </c>
      <c r="N763" s="8" t="s">
        <v>56</v>
      </c>
      <c r="O763" s="8" t="s">
        <v>57</v>
      </c>
      <c r="P763" s="6" t="s">
        <v>116</v>
      </c>
      <c r="Q763" s="8" t="s">
        <v>81</v>
      </c>
      <c r="R763" s="10" t="s">
        <v>480</v>
      </c>
      <c r="S763" s="11"/>
      <c r="T763" s="6"/>
      <c r="U763" s="27" t="str">
        <f>HYPERLINK("https://media.infra-m.ru/2054/2054114/cover/2054114.jpg", "Обложка")</f>
        <v>Обложка</v>
      </c>
      <c r="V763" s="27" t="str">
        <f>HYPERLINK("https://znanium.com/catalog/product/1817538", "Ознакомиться")</f>
        <v>Ознакомиться</v>
      </c>
      <c r="W763" s="8" t="s">
        <v>153</v>
      </c>
      <c r="X763" s="6"/>
      <c r="Y763" s="6"/>
      <c r="Z763" s="6"/>
      <c r="AA763" s="6" t="s">
        <v>510</v>
      </c>
    </row>
    <row r="764" spans="1:27" s="4" customFormat="1" ht="51.95" customHeight="1">
      <c r="A764" s="5">
        <v>0</v>
      </c>
      <c r="B764" s="6" t="s">
        <v>4862</v>
      </c>
      <c r="C764" s="13">
        <v>1594</v>
      </c>
      <c r="D764" s="8" t="s">
        <v>4863</v>
      </c>
      <c r="E764" s="8" t="s">
        <v>4864</v>
      </c>
      <c r="F764" s="8" t="s">
        <v>4865</v>
      </c>
      <c r="G764" s="6" t="s">
        <v>37</v>
      </c>
      <c r="H764" s="6" t="s">
        <v>53</v>
      </c>
      <c r="I764" s="8" t="s">
        <v>114</v>
      </c>
      <c r="J764" s="9">
        <v>1</v>
      </c>
      <c r="K764" s="9">
        <v>343</v>
      </c>
      <c r="L764" s="9">
        <v>2024</v>
      </c>
      <c r="M764" s="8" t="s">
        <v>4866</v>
      </c>
      <c r="N764" s="8" t="s">
        <v>56</v>
      </c>
      <c r="O764" s="8" t="s">
        <v>57</v>
      </c>
      <c r="P764" s="6" t="s">
        <v>116</v>
      </c>
      <c r="Q764" s="8" t="s">
        <v>81</v>
      </c>
      <c r="R764" s="10" t="s">
        <v>4867</v>
      </c>
      <c r="S764" s="11"/>
      <c r="T764" s="6"/>
      <c r="U764" s="27" t="str">
        <f>HYPERLINK("https://media.infra-m.ru/2106/2106204/cover/2106204.jpg", "Обложка")</f>
        <v>Обложка</v>
      </c>
      <c r="V764" s="27" t="str">
        <f>HYPERLINK("https://znanium.com/catalog/product/2035498", "Ознакомиться")</f>
        <v>Ознакомиться</v>
      </c>
      <c r="W764" s="8" t="s">
        <v>153</v>
      </c>
      <c r="X764" s="6"/>
      <c r="Y764" s="6"/>
      <c r="Z764" s="6"/>
      <c r="AA764" s="6" t="s">
        <v>93</v>
      </c>
    </row>
    <row r="765" spans="1:27" s="4" customFormat="1" ht="51.95" customHeight="1">
      <c r="A765" s="5">
        <v>0</v>
      </c>
      <c r="B765" s="6" t="s">
        <v>4868</v>
      </c>
      <c r="C765" s="13">
        <v>1150</v>
      </c>
      <c r="D765" s="8" t="s">
        <v>4869</v>
      </c>
      <c r="E765" s="8" t="s">
        <v>4870</v>
      </c>
      <c r="F765" s="8" t="s">
        <v>4871</v>
      </c>
      <c r="G765" s="6" t="s">
        <v>67</v>
      </c>
      <c r="H765" s="6" t="s">
        <v>53</v>
      </c>
      <c r="I765" s="8" t="s">
        <v>114</v>
      </c>
      <c r="J765" s="9">
        <v>1</v>
      </c>
      <c r="K765" s="9">
        <v>281</v>
      </c>
      <c r="L765" s="9">
        <v>2022</v>
      </c>
      <c r="M765" s="8" t="s">
        <v>4872</v>
      </c>
      <c r="N765" s="8" t="s">
        <v>56</v>
      </c>
      <c r="O765" s="8" t="s">
        <v>57</v>
      </c>
      <c r="P765" s="6" t="s">
        <v>116</v>
      </c>
      <c r="Q765" s="8" t="s">
        <v>81</v>
      </c>
      <c r="R765" s="10" t="s">
        <v>4873</v>
      </c>
      <c r="S765" s="11"/>
      <c r="T765" s="6"/>
      <c r="U765" s="27" t="str">
        <f>HYPERLINK("https://media.infra-m.ru/1850/1850112/cover/1850112.jpg", "Обложка")</f>
        <v>Обложка</v>
      </c>
      <c r="V765" s="27" t="str">
        <f>HYPERLINK("https://znanium.com/catalog/product/1850112", "Ознакомиться")</f>
        <v>Ознакомиться</v>
      </c>
      <c r="W765" s="8" t="s">
        <v>153</v>
      </c>
      <c r="X765" s="6"/>
      <c r="Y765" s="6"/>
      <c r="Z765" s="6"/>
      <c r="AA765" s="6" t="s">
        <v>143</v>
      </c>
    </row>
    <row r="766" spans="1:27" s="4" customFormat="1" ht="51.95" customHeight="1">
      <c r="A766" s="5">
        <v>0</v>
      </c>
      <c r="B766" s="6" t="s">
        <v>4874</v>
      </c>
      <c r="C766" s="13">
        <v>1120</v>
      </c>
      <c r="D766" s="8" t="s">
        <v>4875</v>
      </c>
      <c r="E766" s="8" t="s">
        <v>4876</v>
      </c>
      <c r="F766" s="8" t="s">
        <v>4877</v>
      </c>
      <c r="G766" s="6" t="s">
        <v>67</v>
      </c>
      <c r="H766" s="6" t="s">
        <v>53</v>
      </c>
      <c r="I766" s="8" t="s">
        <v>114</v>
      </c>
      <c r="J766" s="9">
        <v>1</v>
      </c>
      <c r="K766" s="9">
        <v>242</v>
      </c>
      <c r="L766" s="9">
        <v>2023</v>
      </c>
      <c r="M766" s="8" t="s">
        <v>4878</v>
      </c>
      <c r="N766" s="8" t="s">
        <v>56</v>
      </c>
      <c r="O766" s="8" t="s">
        <v>57</v>
      </c>
      <c r="P766" s="6" t="s">
        <v>116</v>
      </c>
      <c r="Q766" s="8" t="s">
        <v>81</v>
      </c>
      <c r="R766" s="10" t="s">
        <v>4879</v>
      </c>
      <c r="S766" s="11"/>
      <c r="T766" s="6"/>
      <c r="U766" s="27" t="str">
        <f>HYPERLINK("https://media.infra-m.ru/2017/2017324/cover/2017324.jpg", "Обложка")</f>
        <v>Обложка</v>
      </c>
      <c r="V766" s="27" t="str">
        <f>HYPERLINK("https://znanium.com/catalog/product/2017324", "Ознакомиться")</f>
        <v>Ознакомиться</v>
      </c>
      <c r="W766" s="8" t="s">
        <v>134</v>
      </c>
      <c r="X766" s="6"/>
      <c r="Y766" s="6"/>
      <c r="Z766" s="6"/>
      <c r="AA766" s="6" t="s">
        <v>288</v>
      </c>
    </row>
    <row r="767" spans="1:27" s="4" customFormat="1" ht="51.95" customHeight="1">
      <c r="A767" s="5">
        <v>0</v>
      </c>
      <c r="B767" s="6" t="s">
        <v>4880</v>
      </c>
      <c r="C767" s="13">
        <v>1104</v>
      </c>
      <c r="D767" s="8" t="s">
        <v>4881</v>
      </c>
      <c r="E767" s="8" t="s">
        <v>4882</v>
      </c>
      <c r="F767" s="8" t="s">
        <v>4883</v>
      </c>
      <c r="G767" s="6" t="s">
        <v>52</v>
      </c>
      <c r="H767" s="6" t="s">
        <v>53</v>
      </c>
      <c r="I767" s="8" t="s">
        <v>114</v>
      </c>
      <c r="J767" s="9">
        <v>1</v>
      </c>
      <c r="K767" s="9">
        <v>240</v>
      </c>
      <c r="L767" s="9">
        <v>2024</v>
      </c>
      <c r="M767" s="8" t="s">
        <v>4884</v>
      </c>
      <c r="N767" s="8" t="s">
        <v>56</v>
      </c>
      <c r="O767" s="8" t="s">
        <v>57</v>
      </c>
      <c r="P767" s="6" t="s">
        <v>116</v>
      </c>
      <c r="Q767" s="8" t="s">
        <v>81</v>
      </c>
      <c r="R767" s="10" t="s">
        <v>117</v>
      </c>
      <c r="S767" s="11"/>
      <c r="T767" s="6"/>
      <c r="U767" s="27" t="str">
        <f>HYPERLINK("https://media.infra-m.ru/2106/2106201/cover/2106201.jpg", "Обложка")</f>
        <v>Обложка</v>
      </c>
      <c r="V767" s="27" t="str">
        <f>HYPERLINK("https://znanium.com/catalog/product/1850628", "Ознакомиться")</f>
        <v>Ознакомиться</v>
      </c>
      <c r="W767" s="8" t="s">
        <v>134</v>
      </c>
      <c r="X767" s="6"/>
      <c r="Y767" s="6"/>
      <c r="Z767" s="6"/>
      <c r="AA767" s="6" t="s">
        <v>208</v>
      </c>
    </row>
    <row r="768" spans="1:27" s="4" customFormat="1" ht="51.95" customHeight="1">
      <c r="A768" s="5">
        <v>0</v>
      </c>
      <c r="B768" s="6" t="s">
        <v>4885</v>
      </c>
      <c r="C768" s="13">
        <v>1050</v>
      </c>
      <c r="D768" s="8" t="s">
        <v>4886</v>
      </c>
      <c r="E768" s="8" t="s">
        <v>4887</v>
      </c>
      <c r="F768" s="8" t="s">
        <v>4888</v>
      </c>
      <c r="G768" s="6" t="s">
        <v>67</v>
      </c>
      <c r="H768" s="6" t="s">
        <v>53</v>
      </c>
      <c r="I768" s="8" t="s">
        <v>114</v>
      </c>
      <c r="J768" s="9">
        <v>1</v>
      </c>
      <c r="K768" s="9">
        <v>248</v>
      </c>
      <c r="L768" s="9">
        <v>2022</v>
      </c>
      <c r="M768" s="8" t="s">
        <v>4889</v>
      </c>
      <c r="N768" s="8" t="s">
        <v>56</v>
      </c>
      <c r="O768" s="8" t="s">
        <v>57</v>
      </c>
      <c r="P768" s="6" t="s">
        <v>116</v>
      </c>
      <c r="Q768" s="8" t="s">
        <v>81</v>
      </c>
      <c r="R768" s="10" t="s">
        <v>4867</v>
      </c>
      <c r="S768" s="11"/>
      <c r="T768" s="6"/>
      <c r="U768" s="27" t="str">
        <f>HYPERLINK("https://media.infra-m.ru/1877/1877529/cover/1877529.jpg", "Обложка")</f>
        <v>Обложка</v>
      </c>
      <c r="V768" s="27" t="str">
        <f>HYPERLINK("https://znanium.com/catalog/product/1877529", "Ознакомиться")</f>
        <v>Ознакомиться</v>
      </c>
      <c r="W768" s="8" t="s">
        <v>46</v>
      </c>
      <c r="X768" s="6"/>
      <c r="Y768" s="6"/>
      <c r="Z768" s="6"/>
      <c r="AA768" s="6" t="s">
        <v>601</v>
      </c>
    </row>
    <row r="769" spans="1:27" s="4" customFormat="1" ht="42" customHeight="1">
      <c r="A769" s="5">
        <v>0</v>
      </c>
      <c r="B769" s="6" t="s">
        <v>4890</v>
      </c>
      <c r="C769" s="7">
        <v>994.9</v>
      </c>
      <c r="D769" s="8" t="s">
        <v>4891</v>
      </c>
      <c r="E769" s="8" t="s">
        <v>4892</v>
      </c>
      <c r="F769" s="8" t="s">
        <v>4893</v>
      </c>
      <c r="G769" s="6" t="s">
        <v>37</v>
      </c>
      <c r="H769" s="6" t="s">
        <v>53</v>
      </c>
      <c r="I769" s="8" t="s">
        <v>114</v>
      </c>
      <c r="J769" s="9">
        <v>1</v>
      </c>
      <c r="K769" s="9">
        <v>254</v>
      </c>
      <c r="L769" s="9">
        <v>2022</v>
      </c>
      <c r="M769" s="8" t="s">
        <v>4894</v>
      </c>
      <c r="N769" s="8" t="s">
        <v>56</v>
      </c>
      <c r="O769" s="8" t="s">
        <v>57</v>
      </c>
      <c r="P769" s="6" t="s">
        <v>116</v>
      </c>
      <c r="Q769" s="8" t="s">
        <v>81</v>
      </c>
      <c r="R769" s="10" t="s">
        <v>1890</v>
      </c>
      <c r="S769" s="11"/>
      <c r="T769" s="6"/>
      <c r="U769" s="27" t="str">
        <f>HYPERLINK("https://media.infra-m.ru/1817/1817546/cover/1817546.jpg", "Обложка")</f>
        <v>Обложка</v>
      </c>
      <c r="V769" s="27" t="str">
        <f>HYPERLINK("https://znanium.com/catalog/product/1817546", "Ознакомиться")</f>
        <v>Ознакомиться</v>
      </c>
      <c r="W769" s="8" t="s">
        <v>568</v>
      </c>
      <c r="X769" s="6"/>
      <c r="Y769" s="6"/>
      <c r="Z769" s="6"/>
      <c r="AA769" s="6" t="s">
        <v>601</v>
      </c>
    </row>
    <row r="770" spans="1:27" s="4" customFormat="1" ht="51.95" customHeight="1">
      <c r="A770" s="5">
        <v>0</v>
      </c>
      <c r="B770" s="6" t="s">
        <v>4895</v>
      </c>
      <c r="C770" s="7">
        <v>674.9</v>
      </c>
      <c r="D770" s="8" t="s">
        <v>4896</v>
      </c>
      <c r="E770" s="8" t="s">
        <v>4897</v>
      </c>
      <c r="F770" s="8" t="s">
        <v>4898</v>
      </c>
      <c r="G770" s="6" t="s">
        <v>67</v>
      </c>
      <c r="H770" s="6" t="s">
        <v>53</v>
      </c>
      <c r="I770" s="8" t="s">
        <v>114</v>
      </c>
      <c r="J770" s="9">
        <v>1</v>
      </c>
      <c r="K770" s="9">
        <v>174</v>
      </c>
      <c r="L770" s="9">
        <v>2022</v>
      </c>
      <c r="M770" s="8" t="s">
        <v>4899</v>
      </c>
      <c r="N770" s="8" t="s">
        <v>56</v>
      </c>
      <c r="O770" s="8" t="s">
        <v>57</v>
      </c>
      <c r="P770" s="6" t="s">
        <v>116</v>
      </c>
      <c r="Q770" s="8" t="s">
        <v>81</v>
      </c>
      <c r="R770" s="10" t="s">
        <v>4900</v>
      </c>
      <c r="S770" s="11"/>
      <c r="T770" s="6"/>
      <c r="U770" s="27" t="str">
        <f>HYPERLINK("https://media.infra-m.ru/1817/1817540/cover/1817540.jpg", "Обложка")</f>
        <v>Обложка</v>
      </c>
      <c r="V770" s="27" t="str">
        <f>HYPERLINK("https://znanium.com/catalog/product/1817540", "Ознакомиться")</f>
        <v>Ознакомиться</v>
      </c>
      <c r="W770" s="8" t="s">
        <v>134</v>
      </c>
      <c r="X770" s="6"/>
      <c r="Y770" s="6"/>
      <c r="Z770" s="6"/>
      <c r="AA770" s="6" t="s">
        <v>253</v>
      </c>
    </row>
    <row r="771" spans="1:27" s="4" customFormat="1" ht="44.1" customHeight="1">
      <c r="A771" s="5">
        <v>0</v>
      </c>
      <c r="B771" s="6" t="s">
        <v>4901</v>
      </c>
      <c r="C771" s="13">
        <v>1570</v>
      </c>
      <c r="D771" s="8" t="s">
        <v>4902</v>
      </c>
      <c r="E771" s="8" t="s">
        <v>4903</v>
      </c>
      <c r="F771" s="8" t="s">
        <v>4904</v>
      </c>
      <c r="G771" s="6" t="s">
        <v>37</v>
      </c>
      <c r="H771" s="6" t="s">
        <v>53</v>
      </c>
      <c r="I771" s="8" t="s">
        <v>114</v>
      </c>
      <c r="J771" s="9">
        <v>1</v>
      </c>
      <c r="K771" s="9">
        <v>345</v>
      </c>
      <c r="L771" s="9">
        <v>2023</v>
      </c>
      <c r="M771" s="8" t="s">
        <v>4905</v>
      </c>
      <c r="N771" s="8" t="s">
        <v>56</v>
      </c>
      <c r="O771" s="8" t="s">
        <v>57</v>
      </c>
      <c r="P771" s="6" t="s">
        <v>116</v>
      </c>
      <c r="Q771" s="8" t="s">
        <v>81</v>
      </c>
      <c r="R771" s="10" t="s">
        <v>2055</v>
      </c>
      <c r="S771" s="11"/>
      <c r="T771" s="6"/>
      <c r="U771" s="27" t="str">
        <f>HYPERLINK("https://media.infra-m.ru/1876/1876366/cover/1876366.jpg", "Обложка")</f>
        <v>Обложка</v>
      </c>
      <c r="V771" s="27" t="str">
        <f>HYPERLINK("https://znanium.com/catalog/product/1876366", "Ознакомиться")</f>
        <v>Ознакомиться</v>
      </c>
      <c r="W771" s="8" t="s">
        <v>153</v>
      </c>
      <c r="X771" s="6"/>
      <c r="Y771" s="6"/>
      <c r="Z771" s="6"/>
      <c r="AA771" s="6" t="s">
        <v>93</v>
      </c>
    </row>
    <row r="772" spans="1:27" s="4" customFormat="1" ht="51.95" customHeight="1">
      <c r="A772" s="5">
        <v>0</v>
      </c>
      <c r="B772" s="6" t="s">
        <v>4906</v>
      </c>
      <c r="C772" s="13">
        <v>1104.9000000000001</v>
      </c>
      <c r="D772" s="8" t="s">
        <v>4907</v>
      </c>
      <c r="E772" s="8" t="s">
        <v>4908</v>
      </c>
      <c r="F772" s="8" t="s">
        <v>4909</v>
      </c>
      <c r="G772" s="6" t="s">
        <v>52</v>
      </c>
      <c r="H772" s="6" t="s">
        <v>53</v>
      </c>
      <c r="I772" s="8" t="s">
        <v>114</v>
      </c>
      <c r="J772" s="9">
        <v>1</v>
      </c>
      <c r="K772" s="9">
        <v>283</v>
      </c>
      <c r="L772" s="9">
        <v>2022</v>
      </c>
      <c r="M772" s="8" t="s">
        <v>4910</v>
      </c>
      <c r="N772" s="8" t="s">
        <v>56</v>
      </c>
      <c r="O772" s="8" t="s">
        <v>57</v>
      </c>
      <c r="P772" s="6" t="s">
        <v>116</v>
      </c>
      <c r="Q772" s="8" t="s">
        <v>81</v>
      </c>
      <c r="R772" s="10" t="s">
        <v>117</v>
      </c>
      <c r="S772" s="11"/>
      <c r="T772" s="6"/>
      <c r="U772" s="27" t="str">
        <f>HYPERLINK("https://media.infra-m.ru/1852/1852199/cover/1852199.jpg", "Обложка")</f>
        <v>Обложка</v>
      </c>
      <c r="V772" s="27" t="str">
        <f>HYPERLINK("https://znanium.com/catalog/product/1039269", "Ознакомиться")</f>
        <v>Ознакомиться</v>
      </c>
      <c r="W772" s="8" t="s">
        <v>134</v>
      </c>
      <c r="X772" s="6"/>
      <c r="Y772" s="6"/>
      <c r="Z772" s="6"/>
      <c r="AA772" s="6" t="s">
        <v>47</v>
      </c>
    </row>
    <row r="773" spans="1:27" s="4" customFormat="1" ht="51.95" customHeight="1">
      <c r="A773" s="5">
        <v>0</v>
      </c>
      <c r="B773" s="6" t="s">
        <v>4911</v>
      </c>
      <c r="C773" s="7">
        <v>590</v>
      </c>
      <c r="D773" s="8" t="s">
        <v>4912</v>
      </c>
      <c r="E773" s="8" t="s">
        <v>4913</v>
      </c>
      <c r="F773" s="8" t="s">
        <v>1361</v>
      </c>
      <c r="G773" s="6" t="s">
        <v>52</v>
      </c>
      <c r="H773" s="6" t="s">
        <v>53</v>
      </c>
      <c r="I773" s="8" t="s">
        <v>114</v>
      </c>
      <c r="J773" s="9">
        <v>1</v>
      </c>
      <c r="K773" s="9">
        <v>122</v>
      </c>
      <c r="L773" s="9">
        <v>2023</v>
      </c>
      <c r="M773" s="8" t="s">
        <v>4914</v>
      </c>
      <c r="N773" s="8" t="s">
        <v>56</v>
      </c>
      <c r="O773" s="8" t="s">
        <v>57</v>
      </c>
      <c r="P773" s="6" t="s">
        <v>116</v>
      </c>
      <c r="Q773" s="8" t="s">
        <v>81</v>
      </c>
      <c r="R773" s="10" t="s">
        <v>3762</v>
      </c>
      <c r="S773" s="11"/>
      <c r="T773" s="6" t="s">
        <v>277</v>
      </c>
      <c r="U773" s="27" t="str">
        <f>HYPERLINK("https://media.infra-m.ru/1899/1899894/cover/1899894.jpg", "Обложка")</f>
        <v>Обложка</v>
      </c>
      <c r="V773" s="27" t="str">
        <f>HYPERLINK("https://znanium.com/catalog/product/1899894", "Ознакомиться")</f>
        <v>Ознакомиться</v>
      </c>
      <c r="W773" s="8" t="s">
        <v>1364</v>
      </c>
      <c r="X773" s="6"/>
      <c r="Y773" s="6"/>
      <c r="Z773" s="6"/>
      <c r="AA773" s="6" t="s">
        <v>47</v>
      </c>
    </row>
    <row r="774" spans="1:27" s="4" customFormat="1" ht="51.95" customHeight="1">
      <c r="A774" s="5">
        <v>0</v>
      </c>
      <c r="B774" s="6" t="s">
        <v>4915</v>
      </c>
      <c r="C774" s="7">
        <v>834</v>
      </c>
      <c r="D774" s="8" t="s">
        <v>4916</v>
      </c>
      <c r="E774" s="8" t="s">
        <v>4917</v>
      </c>
      <c r="F774" s="8" t="s">
        <v>4918</v>
      </c>
      <c r="G774" s="6" t="s">
        <v>37</v>
      </c>
      <c r="H774" s="6" t="s">
        <v>53</v>
      </c>
      <c r="I774" s="8" t="s">
        <v>148</v>
      </c>
      <c r="J774" s="9">
        <v>1</v>
      </c>
      <c r="K774" s="9">
        <v>180</v>
      </c>
      <c r="L774" s="9">
        <v>2024</v>
      </c>
      <c r="M774" s="8" t="s">
        <v>4919</v>
      </c>
      <c r="N774" s="8" t="s">
        <v>56</v>
      </c>
      <c r="O774" s="8" t="s">
        <v>57</v>
      </c>
      <c r="P774" s="6" t="s">
        <v>69</v>
      </c>
      <c r="Q774" s="8" t="s">
        <v>43</v>
      </c>
      <c r="R774" s="10" t="s">
        <v>4920</v>
      </c>
      <c r="S774" s="11"/>
      <c r="T774" s="6"/>
      <c r="U774" s="27" t="str">
        <f>HYPERLINK("https://media.infra-m.ru/2102/2102167/cover/2102167.jpg", "Обложка")</f>
        <v>Обложка</v>
      </c>
      <c r="V774" s="27" t="str">
        <f>HYPERLINK("https://znanium.com/catalog/product/1247716", "Ознакомиться")</f>
        <v>Ознакомиться</v>
      </c>
      <c r="W774" s="8" t="s">
        <v>1748</v>
      </c>
      <c r="X774" s="6"/>
      <c r="Y774" s="6"/>
      <c r="Z774" s="6"/>
      <c r="AA774" s="6" t="s">
        <v>208</v>
      </c>
    </row>
    <row r="775" spans="1:27" s="4" customFormat="1" ht="51.95" customHeight="1">
      <c r="A775" s="5">
        <v>0</v>
      </c>
      <c r="B775" s="6" t="s">
        <v>4921</v>
      </c>
      <c r="C775" s="13">
        <v>1390</v>
      </c>
      <c r="D775" s="8" t="s">
        <v>4922</v>
      </c>
      <c r="E775" s="8" t="s">
        <v>4923</v>
      </c>
      <c r="F775" s="8" t="s">
        <v>3057</v>
      </c>
      <c r="G775" s="6" t="s">
        <v>67</v>
      </c>
      <c r="H775" s="6" t="s">
        <v>53</v>
      </c>
      <c r="I775" s="8" t="s">
        <v>165</v>
      </c>
      <c r="J775" s="9">
        <v>1</v>
      </c>
      <c r="K775" s="9">
        <v>365</v>
      </c>
      <c r="L775" s="9">
        <v>2022</v>
      </c>
      <c r="M775" s="8" t="s">
        <v>4924</v>
      </c>
      <c r="N775" s="8" t="s">
        <v>56</v>
      </c>
      <c r="O775" s="8" t="s">
        <v>57</v>
      </c>
      <c r="P775" s="6" t="s">
        <v>42</v>
      </c>
      <c r="Q775" s="8" t="s">
        <v>43</v>
      </c>
      <c r="R775" s="10" t="s">
        <v>4925</v>
      </c>
      <c r="S775" s="11" t="s">
        <v>4926</v>
      </c>
      <c r="T775" s="6"/>
      <c r="U775" s="27" t="str">
        <f>HYPERLINK("https://media.infra-m.ru/1844/1844148/cover/1844148.jpg", "Обложка")</f>
        <v>Обложка</v>
      </c>
      <c r="V775" s="27" t="str">
        <f>HYPERLINK("https://znanium.com/catalog/product/1844148", "Ознакомиться")</f>
        <v>Ознакомиться</v>
      </c>
      <c r="W775" s="8" t="s">
        <v>134</v>
      </c>
      <c r="X775" s="6"/>
      <c r="Y775" s="6"/>
      <c r="Z775" s="6"/>
      <c r="AA775" s="6" t="s">
        <v>4927</v>
      </c>
    </row>
    <row r="776" spans="1:27" s="4" customFormat="1" ht="51.95" customHeight="1">
      <c r="A776" s="5">
        <v>0</v>
      </c>
      <c r="B776" s="6" t="s">
        <v>4928</v>
      </c>
      <c r="C776" s="13">
        <v>1994</v>
      </c>
      <c r="D776" s="8" t="s">
        <v>4929</v>
      </c>
      <c r="E776" s="8" t="s">
        <v>4930</v>
      </c>
      <c r="F776" s="8" t="s">
        <v>4931</v>
      </c>
      <c r="G776" s="6" t="s">
        <v>67</v>
      </c>
      <c r="H776" s="6" t="s">
        <v>53</v>
      </c>
      <c r="I776" s="8" t="s">
        <v>165</v>
      </c>
      <c r="J776" s="9">
        <v>1</v>
      </c>
      <c r="K776" s="9">
        <v>513</v>
      </c>
      <c r="L776" s="9">
        <v>2023</v>
      </c>
      <c r="M776" s="8" t="s">
        <v>4932</v>
      </c>
      <c r="N776" s="8" t="s">
        <v>56</v>
      </c>
      <c r="O776" s="8" t="s">
        <v>57</v>
      </c>
      <c r="P776" s="6" t="s">
        <v>69</v>
      </c>
      <c r="Q776" s="8" t="s">
        <v>43</v>
      </c>
      <c r="R776" s="10" t="s">
        <v>1441</v>
      </c>
      <c r="S776" s="11" t="s">
        <v>4933</v>
      </c>
      <c r="T776" s="6"/>
      <c r="U776" s="27" t="str">
        <f>HYPERLINK("https://media.infra-m.ru/1996/1996449/cover/1996449.jpg", "Обложка")</f>
        <v>Обложка</v>
      </c>
      <c r="V776" s="27" t="str">
        <f>HYPERLINK("https://znanium.com/catalog/product/1055537", "Ознакомиться")</f>
        <v>Ознакомиться</v>
      </c>
      <c r="W776" s="8" t="s">
        <v>1610</v>
      </c>
      <c r="X776" s="6"/>
      <c r="Y776" s="6"/>
      <c r="Z776" s="6"/>
      <c r="AA776" s="6" t="s">
        <v>242</v>
      </c>
    </row>
    <row r="777" spans="1:27" s="4" customFormat="1" ht="51.95" customHeight="1">
      <c r="A777" s="5">
        <v>0</v>
      </c>
      <c r="B777" s="6" t="s">
        <v>4934</v>
      </c>
      <c r="C777" s="13">
        <v>2900</v>
      </c>
      <c r="D777" s="8" t="s">
        <v>4935</v>
      </c>
      <c r="E777" s="8" t="s">
        <v>4936</v>
      </c>
      <c r="F777" s="8" t="s">
        <v>4937</v>
      </c>
      <c r="G777" s="6" t="s">
        <v>37</v>
      </c>
      <c r="H777" s="6" t="s">
        <v>53</v>
      </c>
      <c r="I777" s="8" t="s">
        <v>165</v>
      </c>
      <c r="J777" s="9">
        <v>1</v>
      </c>
      <c r="K777" s="9">
        <v>695</v>
      </c>
      <c r="L777" s="9">
        <v>2023</v>
      </c>
      <c r="M777" s="8" t="s">
        <v>4938</v>
      </c>
      <c r="N777" s="8" t="s">
        <v>56</v>
      </c>
      <c r="O777" s="8" t="s">
        <v>57</v>
      </c>
      <c r="P777" s="6" t="s">
        <v>69</v>
      </c>
      <c r="Q777" s="8" t="s">
        <v>43</v>
      </c>
      <c r="R777" s="10" t="s">
        <v>4939</v>
      </c>
      <c r="S777" s="11" t="s">
        <v>4940</v>
      </c>
      <c r="T777" s="6"/>
      <c r="U777" s="27" t="str">
        <f>HYPERLINK("https://media.infra-m.ru/1951/1951170/cover/1951170.jpg", "Обложка")</f>
        <v>Обложка</v>
      </c>
      <c r="V777" s="27" t="str">
        <f>HYPERLINK("https://znanium.com/catalog/product/1951170", "Ознакомиться")</f>
        <v>Ознакомиться</v>
      </c>
      <c r="W777" s="8" t="s">
        <v>134</v>
      </c>
      <c r="X777" s="6"/>
      <c r="Y777" s="6"/>
      <c r="Z777" s="6"/>
      <c r="AA777" s="6" t="s">
        <v>4941</v>
      </c>
    </row>
    <row r="778" spans="1:27" s="4" customFormat="1" ht="51.95" customHeight="1">
      <c r="A778" s="5">
        <v>0</v>
      </c>
      <c r="B778" s="6" t="s">
        <v>4942</v>
      </c>
      <c r="C778" s="13">
        <v>1350</v>
      </c>
      <c r="D778" s="8" t="s">
        <v>4943</v>
      </c>
      <c r="E778" s="8" t="s">
        <v>4944</v>
      </c>
      <c r="F778" s="8" t="s">
        <v>4945</v>
      </c>
      <c r="G778" s="6" t="s">
        <v>67</v>
      </c>
      <c r="H778" s="6" t="s">
        <v>53</v>
      </c>
      <c r="I778" s="8" t="s">
        <v>148</v>
      </c>
      <c r="J778" s="9">
        <v>1</v>
      </c>
      <c r="K778" s="9">
        <v>301</v>
      </c>
      <c r="L778" s="9">
        <v>2024</v>
      </c>
      <c r="M778" s="8" t="s">
        <v>4946</v>
      </c>
      <c r="N778" s="8" t="s">
        <v>56</v>
      </c>
      <c r="O778" s="8" t="s">
        <v>57</v>
      </c>
      <c r="P778" s="6" t="s">
        <v>42</v>
      </c>
      <c r="Q778" s="8" t="s">
        <v>150</v>
      </c>
      <c r="R778" s="10" t="s">
        <v>117</v>
      </c>
      <c r="S778" s="11" t="s">
        <v>4947</v>
      </c>
      <c r="T778" s="6"/>
      <c r="U778" s="27" t="str">
        <f>HYPERLINK("https://media.infra-m.ru/2054/2054180/cover/2054180.jpg", "Обложка")</f>
        <v>Обложка</v>
      </c>
      <c r="V778" s="27" t="str">
        <f>HYPERLINK("https://znanium.com/catalog/product/2054180", "Ознакомиться")</f>
        <v>Ознакомиться</v>
      </c>
      <c r="W778" s="8" t="s">
        <v>134</v>
      </c>
      <c r="X778" s="6"/>
      <c r="Y778" s="6"/>
      <c r="Z778" s="6"/>
      <c r="AA778" s="6" t="s">
        <v>592</v>
      </c>
    </row>
    <row r="779" spans="1:27" s="4" customFormat="1" ht="51.95" customHeight="1">
      <c r="A779" s="5">
        <v>0</v>
      </c>
      <c r="B779" s="6" t="s">
        <v>4948</v>
      </c>
      <c r="C779" s="7">
        <v>720</v>
      </c>
      <c r="D779" s="8" t="s">
        <v>4949</v>
      </c>
      <c r="E779" s="8" t="s">
        <v>4950</v>
      </c>
      <c r="F779" s="8" t="s">
        <v>4951</v>
      </c>
      <c r="G779" s="6" t="s">
        <v>52</v>
      </c>
      <c r="H779" s="6" t="s">
        <v>53</v>
      </c>
      <c r="I779" s="8" t="s">
        <v>165</v>
      </c>
      <c r="J779" s="9">
        <v>1</v>
      </c>
      <c r="K779" s="9">
        <v>160</v>
      </c>
      <c r="L779" s="9">
        <v>2021</v>
      </c>
      <c r="M779" s="8" t="s">
        <v>4952</v>
      </c>
      <c r="N779" s="8" t="s">
        <v>56</v>
      </c>
      <c r="O779" s="8" t="s">
        <v>57</v>
      </c>
      <c r="P779" s="6" t="s">
        <v>69</v>
      </c>
      <c r="Q779" s="8" t="s">
        <v>43</v>
      </c>
      <c r="R779" s="10" t="s">
        <v>2027</v>
      </c>
      <c r="S779" s="11" t="s">
        <v>4953</v>
      </c>
      <c r="T779" s="6"/>
      <c r="U779" s="27" t="str">
        <f>HYPERLINK("https://media.infra-m.ru/1950/1950298/cover/1950298.jpg", "Обложка")</f>
        <v>Обложка</v>
      </c>
      <c r="V779" s="27" t="str">
        <f>HYPERLINK("https://znanium.com/catalog/product/1324015", "Ознакомиться")</f>
        <v>Ознакомиться</v>
      </c>
      <c r="W779" s="8" t="s">
        <v>2466</v>
      </c>
      <c r="X779" s="6"/>
      <c r="Y779" s="6"/>
      <c r="Z779" s="6"/>
      <c r="AA779" s="6" t="s">
        <v>253</v>
      </c>
    </row>
    <row r="780" spans="1:27" s="4" customFormat="1" ht="51.95" customHeight="1">
      <c r="A780" s="5">
        <v>0</v>
      </c>
      <c r="B780" s="6" t="s">
        <v>4954</v>
      </c>
      <c r="C780" s="7">
        <v>700</v>
      </c>
      <c r="D780" s="8" t="s">
        <v>4955</v>
      </c>
      <c r="E780" s="8" t="s">
        <v>4956</v>
      </c>
      <c r="F780" s="8" t="s">
        <v>4957</v>
      </c>
      <c r="G780" s="6" t="s">
        <v>52</v>
      </c>
      <c r="H780" s="6" t="s">
        <v>98</v>
      </c>
      <c r="I780" s="8" t="s">
        <v>165</v>
      </c>
      <c r="J780" s="9">
        <v>1</v>
      </c>
      <c r="K780" s="9">
        <v>154</v>
      </c>
      <c r="L780" s="9">
        <v>2020</v>
      </c>
      <c r="M780" s="8" t="s">
        <v>4958</v>
      </c>
      <c r="N780" s="8" t="s">
        <v>56</v>
      </c>
      <c r="O780" s="8" t="s">
        <v>57</v>
      </c>
      <c r="P780" s="6" t="s">
        <v>42</v>
      </c>
      <c r="Q780" s="8" t="s">
        <v>43</v>
      </c>
      <c r="R780" s="10" t="s">
        <v>4959</v>
      </c>
      <c r="S780" s="11"/>
      <c r="T780" s="6"/>
      <c r="U780" s="27" t="str">
        <f>HYPERLINK("https://media.infra-m.ru/1946/1946508/cover/1946508.jpg", "Обложка")</f>
        <v>Обложка</v>
      </c>
      <c r="V780" s="27" t="str">
        <f>HYPERLINK("https://znanium.com/catalog/product/1048452", "Ознакомиться")</f>
        <v>Ознакомиться</v>
      </c>
      <c r="W780" s="8" t="s">
        <v>4960</v>
      </c>
      <c r="X780" s="6"/>
      <c r="Y780" s="6"/>
      <c r="Z780" s="6"/>
      <c r="AA780" s="6" t="s">
        <v>253</v>
      </c>
    </row>
    <row r="781" spans="1:27" s="4" customFormat="1" ht="51.95" customHeight="1">
      <c r="A781" s="5">
        <v>0</v>
      </c>
      <c r="B781" s="6" t="s">
        <v>4961</v>
      </c>
      <c r="C781" s="13">
        <v>1154</v>
      </c>
      <c r="D781" s="8" t="s">
        <v>4962</v>
      </c>
      <c r="E781" s="8" t="s">
        <v>4963</v>
      </c>
      <c r="F781" s="8" t="s">
        <v>4964</v>
      </c>
      <c r="G781" s="6" t="s">
        <v>37</v>
      </c>
      <c r="H781" s="6" t="s">
        <v>98</v>
      </c>
      <c r="I781" s="8" t="s">
        <v>165</v>
      </c>
      <c r="J781" s="9">
        <v>1</v>
      </c>
      <c r="K781" s="9">
        <v>255</v>
      </c>
      <c r="L781" s="9">
        <v>2023</v>
      </c>
      <c r="M781" s="8" t="s">
        <v>4965</v>
      </c>
      <c r="N781" s="8" t="s">
        <v>56</v>
      </c>
      <c r="O781" s="8" t="s">
        <v>57</v>
      </c>
      <c r="P781" s="6" t="s">
        <v>42</v>
      </c>
      <c r="Q781" s="8" t="s">
        <v>43</v>
      </c>
      <c r="R781" s="10" t="s">
        <v>4966</v>
      </c>
      <c r="S781" s="11"/>
      <c r="T781" s="6"/>
      <c r="U781" s="27" t="str">
        <f>HYPERLINK("https://media.infra-m.ru/1843/1843613/cover/1843613.jpg", "Обложка")</f>
        <v>Обложка</v>
      </c>
      <c r="V781" s="27" t="str">
        <f>HYPERLINK("https://znanium.com/catalog/product/1080284", "Ознакомиться")</f>
        <v>Ознакомиться</v>
      </c>
      <c r="W781" s="8"/>
      <c r="X781" s="6"/>
      <c r="Y781" s="6"/>
      <c r="Z781" s="6"/>
      <c r="AA781" s="6" t="s">
        <v>62</v>
      </c>
    </row>
    <row r="782" spans="1:27" s="4" customFormat="1" ht="51.95" customHeight="1">
      <c r="A782" s="5">
        <v>0</v>
      </c>
      <c r="B782" s="6" t="s">
        <v>4967</v>
      </c>
      <c r="C782" s="7">
        <v>814.9</v>
      </c>
      <c r="D782" s="8" t="s">
        <v>4968</v>
      </c>
      <c r="E782" s="8" t="s">
        <v>4969</v>
      </c>
      <c r="F782" s="8" t="s">
        <v>4898</v>
      </c>
      <c r="G782" s="6" t="s">
        <v>37</v>
      </c>
      <c r="H782" s="6" t="s">
        <v>53</v>
      </c>
      <c r="I782" s="8" t="s">
        <v>165</v>
      </c>
      <c r="J782" s="9">
        <v>20</v>
      </c>
      <c r="K782" s="9">
        <v>278</v>
      </c>
      <c r="L782" s="9">
        <v>2017</v>
      </c>
      <c r="M782" s="8" t="s">
        <v>4970</v>
      </c>
      <c r="N782" s="8" t="s">
        <v>56</v>
      </c>
      <c r="O782" s="8" t="s">
        <v>57</v>
      </c>
      <c r="P782" s="6" t="s">
        <v>42</v>
      </c>
      <c r="Q782" s="8" t="s">
        <v>43</v>
      </c>
      <c r="R782" s="10" t="s">
        <v>2027</v>
      </c>
      <c r="S782" s="11" t="s">
        <v>4971</v>
      </c>
      <c r="T782" s="6"/>
      <c r="U782" s="27" t="str">
        <f>HYPERLINK("https://media.infra-m.ru/0610/0610225/cover/610225.jpg", "Обложка")</f>
        <v>Обложка</v>
      </c>
      <c r="V782" s="27" t="str">
        <f>HYPERLINK("https://znanium.com/catalog/product/415308", "Ознакомиться")</f>
        <v>Ознакомиться</v>
      </c>
      <c r="W782" s="8" t="s">
        <v>134</v>
      </c>
      <c r="X782" s="6"/>
      <c r="Y782" s="6"/>
      <c r="Z782" s="6"/>
      <c r="AA782" s="6" t="s">
        <v>208</v>
      </c>
    </row>
    <row r="783" spans="1:27" s="4" customFormat="1" ht="51.95" customHeight="1">
      <c r="A783" s="5">
        <v>0</v>
      </c>
      <c r="B783" s="6" t="s">
        <v>4972</v>
      </c>
      <c r="C783" s="13">
        <v>1474.9</v>
      </c>
      <c r="D783" s="8" t="s">
        <v>4973</v>
      </c>
      <c r="E783" s="8" t="s">
        <v>4974</v>
      </c>
      <c r="F783" s="8" t="s">
        <v>4975</v>
      </c>
      <c r="G783" s="6" t="s">
        <v>37</v>
      </c>
      <c r="H783" s="6" t="s">
        <v>98</v>
      </c>
      <c r="I783" s="8" t="s">
        <v>1067</v>
      </c>
      <c r="J783" s="9">
        <v>1</v>
      </c>
      <c r="K783" s="9">
        <v>328</v>
      </c>
      <c r="L783" s="9">
        <v>2023</v>
      </c>
      <c r="M783" s="8" t="s">
        <v>4976</v>
      </c>
      <c r="N783" s="8" t="s">
        <v>56</v>
      </c>
      <c r="O783" s="8" t="s">
        <v>57</v>
      </c>
      <c r="P783" s="6" t="s">
        <v>42</v>
      </c>
      <c r="Q783" s="8" t="s">
        <v>43</v>
      </c>
      <c r="R783" s="10" t="s">
        <v>4977</v>
      </c>
      <c r="S783" s="11" t="s">
        <v>4978</v>
      </c>
      <c r="T783" s="6"/>
      <c r="U783" s="27" t="str">
        <f>HYPERLINK("https://media.infra-m.ru/1911/1911802/cover/1911802.jpg", "Обложка")</f>
        <v>Обложка</v>
      </c>
      <c r="V783" s="27" t="str">
        <f>HYPERLINK("https://znanium.com/catalog/product/937985", "Ознакомиться")</f>
        <v>Ознакомиться</v>
      </c>
      <c r="W783" s="8" t="s">
        <v>1610</v>
      </c>
      <c r="X783" s="6"/>
      <c r="Y783" s="6"/>
      <c r="Z783" s="6"/>
      <c r="AA783" s="6" t="s">
        <v>201</v>
      </c>
    </row>
    <row r="784" spans="1:27" s="4" customFormat="1" ht="51.95" customHeight="1">
      <c r="A784" s="5">
        <v>0</v>
      </c>
      <c r="B784" s="6" t="s">
        <v>4979</v>
      </c>
      <c r="C784" s="13">
        <v>1030</v>
      </c>
      <c r="D784" s="8" t="s">
        <v>4980</v>
      </c>
      <c r="E784" s="8" t="s">
        <v>4981</v>
      </c>
      <c r="F784" s="8" t="s">
        <v>4982</v>
      </c>
      <c r="G784" s="6" t="s">
        <v>52</v>
      </c>
      <c r="H784" s="6" t="s">
        <v>53</v>
      </c>
      <c r="I784" s="8" t="s">
        <v>114</v>
      </c>
      <c r="J784" s="9">
        <v>1</v>
      </c>
      <c r="K784" s="9">
        <v>228</v>
      </c>
      <c r="L784" s="9">
        <v>2023</v>
      </c>
      <c r="M784" s="8" t="s">
        <v>4983</v>
      </c>
      <c r="N784" s="8" t="s">
        <v>56</v>
      </c>
      <c r="O784" s="8" t="s">
        <v>57</v>
      </c>
      <c r="P784" s="6" t="s">
        <v>116</v>
      </c>
      <c r="Q784" s="8" t="s">
        <v>81</v>
      </c>
      <c r="R784" s="10" t="s">
        <v>117</v>
      </c>
      <c r="S784" s="11"/>
      <c r="T784" s="6"/>
      <c r="U784" s="27" t="str">
        <f>HYPERLINK("https://media.infra-m.ru/2017/2017325/cover/2017325.jpg", "Обложка")</f>
        <v>Обложка</v>
      </c>
      <c r="V784" s="27" t="str">
        <f>HYPERLINK("https://znanium.com/catalog/product/2017325", "Ознакомиться")</f>
        <v>Ознакомиться</v>
      </c>
      <c r="W784" s="8" t="s">
        <v>134</v>
      </c>
      <c r="X784" s="6"/>
      <c r="Y784" s="6"/>
      <c r="Z784" s="6"/>
      <c r="AA784" s="6" t="s">
        <v>308</v>
      </c>
    </row>
    <row r="785" spans="1:27" s="4" customFormat="1" ht="51.95" customHeight="1">
      <c r="A785" s="5">
        <v>0</v>
      </c>
      <c r="B785" s="6" t="s">
        <v>4984</v>
      </c>
      <c r="C785" s="13">
        <v>1184.9000000000001</v>
      </c>
      <c r="D785" s="8" t="s">
        <v>4985</v>
      </c>
      <c r="E785" s="8" t="s">
        <v>4986</v>
      </c>
      <c r="F785" s="8" t="s">
        <v>3057</v>
      </c>
      <c r="G785" s="6" t="s">
        <v>37</v>
      </c>
      <c r="H785" s="6" t="s">
        <v>53</v>
      </c>
      <c r="I785" s="8" t="s">
        <v>54</v>
      </c>
      <c r="J785" s="9">
        <v>1</v>
      </c>
      <c r="K785" s="9">
        <v>407</v>
      </c>
      <c r="L785" s="9">
        <v>2018</v>
      </c>
      <c r="M785" s="8" t="s">
        <v>4987</v>
      </c>
      <c r="N785" s="8" t="s">
        <v>56</v>
      </c>
      <c r="O785" s="8" t="s">
        <v>57</v>
      </c>
      <c r="P785" s="6" t="s">
        <v>42</v>
      </c>
      <c r="Q785" s="8" t="s">
        <v>43</v>
      </c>
      <c r="R785" s="10" t="s">
        <v>3120</v>
      </c>
      <c r="S785" s="11" t="s">
        <v>4988</v>
      </c>
      <c r="T785" s="6"/>
      <c r="U785" s="27" t="str">
        <f>HYPERLINK("https://media.infra-m.ru/0935/0935222/cover/935222.jpg", "Обложка")</f>
        <v>Обложка</v>
      </c>
      <c r="V785" s="27" t="str">
        <f>HYPERLINK("https://znanium.com/catalog/product/935222", "Ознакомиться")</f>
        <v>Ознакомиться</v>
      </c>
      <c r="W785" s="8" t="s">
        <v>134</v>
      </c>
      <c r="X785" s="6"/>
      <c r="Y785" s="6"/>
      <c r="Z785" s="6"/>
      <c r="AA785" s="6" t="s">
        <v>62</v>
      </c>
    </row>
    <row r="786" spans="1:27" s="4" customFormat="1" ht="44.1" customHeight="1">
      <c r="A786" s="5">
        <v>0</v>
      </c>
      <c r="B786" s="6" t="s">
        <v>4989</v>
      </c>
      <c r="C786" s="13">
        <v>1184.9000000000001</v>
      </c>
      <c r="D786" s="8" t="s">
        <v>4990</v>
      </c>
      <c r="E786" s="8" t="s">
        <v>4991</v>
      </c>
      <c r="F786" s="8" t="s">
        <v>4992</v>
      </c>
      <c r="G786" s="6" t="s">
        <v>37</v>
      </c>
      <c r="H786" s="6" t="s">
        <v>53</v>
      </c>
      <c r="I786" s="8" t="s">
        <v>148</v>
      </c>
      <c r="J786" s="9">
        <v>1</v>
      </c>
      <c r="K786" s="9">
        <v>349</v>
      </c>
      <c r="L786" s="9">
        <v>2020</v>
      </c>
      <c r="M786" s="8" t="s">
        <v>4993</v>
      </c>
      <c r="N786" s="8" t="s">
        <v>56</v>
      </c>
      <c r="O786" s="8" t="s">
        <v>57</v>
      </c>
      <c r="P786" s="6" t="s">
        <v>42</v>
      </c>
      <c r="Q786" s="8" t="s">
        <v>150</v>
      </c>
      <c r="R786" s="10" t="s">
        <v>2262</v>
      </c>
      <c r="S786" s="11"/>
      <c r="T786" s="6"/>
      <c r="U786" s="27" t="str">
        <f>HYPERLINK("https://media.infra-m.ru/1092/1092169/cover/1092169.jpg", "Обложка")</f>
        <v>Обложка</v>
      </c>
      <c r="V786" s="27" t="str">
        <f>HYPERLINK("https://znanium.com/catalog/product/959885", "Ознакомиться")</f>
        <v>Ознакомиться</v>
      </c>
      <c r="W786" s="8" t="s">
        <v>134</v>
      </c>
      <c r="X786" s="6"/>
      <c r="Y786" s="6"/>
      <c r="Z786" s="6"/>
      <c r="AA786" s="6" t="s">
        <v>62</v>
      </c>
    </row>
    <row r="787" spans="1:27" s="4" customFormat="1" ht="51.95" customHeight="1">
      <c r="A787" s="5">
        <v>0</v>
      </c>
      <c r="B787" s="6" t="s">
        <v>4994</v>
      </c>
      <c r="C787" s="7">
        <v>499.9</v>
      </c>
      <c r="D787" s="8" t="s">
        <v>4995</v>
      </c>
      <c r="E787" s="8" t="s">
        <v>4996</v>
      </c>
      <c r="F787" s="8" t="s">
        <v>4997</v>
      </c>
      <c r="G787" s="6"/>
      <c r="H787" s="6" t="s">
        <v>53</v>
      </c>
      <c r="I787" s="8" t="s">
        <v>165</v>
      </c>
      <c r="J787" s="9">
        <v>10</v>
      </c>
      <c r="K787" s="9">
        <v>506</v>
      </c>
      <c r="L787" s="9">
        <v>2015</v>
      </c>
      <c r="M787" s="8" t="s">
        <v>4998</v>
      </c>
      <c r="N787" s="8" t="s">
        <v>56</v>
      </c>
      <c r="O787" s="8" t="s">
        <v>57</v>
      </c>
      <c r="P787" s="6" t="s">
        <v>42</v>
      </c>
      <c r="Q787" s="8" t="s">
        <v>43</v>
      </c>
      <c r="R787" s="10" t="s">
        <v>4999</v>
      </c>
      <c r="S787" s="11"/>
      <c r="T787" s="6"/>
      <c r="U787" s="27" t="str">
        <f>HYPERLINK("https://media.infra-m.ru/0493/0493618/cover/493618.jpg", "Обложка")</f>
        <v>Обложка</v>
      </c>
      <c r="V787" s="27" t="str">
        <f>HYPERLINK("https://znanium.com/catalog/product/309410", "Ознакомиться")</f>
        <v>Ознакомиться</v>
      </c>
      <c r="W787" s="8" t="s">
        <v>134</v>
      </c>
      <c r="X787" s="6"/>
      <c r="Y787" s="6"/>
      <c r="Z787" s="6"/>
      <c r="AA787" s="6" t="s">
        <v>62</v>
      </c>
    </row>
    <row r="788" spans="1:27" s="4" customFormat="1" ht="51.95" customHeight="1">
      <c r="A788" s="5">
        <v>0</v>
      </c>
      <c r="B788" s="6" t="s">
        <v>5000</v>
      </c>
      <c r="C788" s="7">
        <v>854.9</v>
      </c>
      <c r="D788" s="8" t="s">
        <v>5001</v>
      </c>
      <c r="E788" s="8" t="s">
        <v>5002</v>
      </c>
      <c r="F788" s="8" t="s">
        <v>3182</v>
      </c>
      <c r="G788" s="6" t="s">
        <v>67</v>
      </c>
      <c r="H788" s="6" t="s">
        <v>53</v>
      </c>
      <c r="I788" s="8" t="s">
        <v>148</v>
      </c>
      <c r="J788" s="9">
        <v>1</v>
      </c>
      <c r="K788" s="9">
        <v>191</v>
      </c>
      <c r="L788" s="9">
        <v>2023</v>
      </c>
      <c r="M788" s="8" t="s">
        <v>5003</v>
      </c>
      <c r="N788" s="8" t="s">
        <v>56</v>
      </c>
      <c r="O788" s="8" t="s">
        <v>57</v>
      </c>
      <c r="P788" s="6" t="s">
        <v>42</v>
      </c>
      <c r="Q788" s="8" t="s">
        <v>150</v>
      </c>
      <c r="R788" s="10" t="s">
        <v>3126</v>
      </c>
      <c r="S788" s="11" t="s">
        <v>5004</v>
      </c>
      <c r="T788" s="6"/>
      <c r="U788" s="27" t="str">
        <f>HYPERLINK("https://media.infra-m.ru/1971/1971829/cover/1971829.jpg", "Обложка")</f>
        <v>Обложка</v>
      </c>
      <c r="V788" s="27" t="str">
        <f>HYPERLINK("https://znanium.com/catalog/product/1815602", "Ознакомиться")</f>
        <v>Ознакомиться</v>
      </c>
      <c r="W788" s="8" t="s">
        <v>1350</v>
      </c>
      <c r="X788" s="6"/>
      <c r="Y788" s="6"/>
      <c r="Z788" s="6"/>
      <c r="AA788" s="6" t="s">
        <v>592</v>
      </c>
    </row>
    <row r="789" spans="1:27" s="4" customFormat="1" ht="51.95" customHeight="1">
      <c r="A789" s="5">
        <v>0</v>
      </c>
      <c r="B789" s="6" t="s">
        <v>5005</v>
      </c>
      <c r="C789" s="13">
        <v>2034</v>
      </c>
      <c r="D789" s="8" t="s">
        <v>5006</v>
      </c>
      <c r="E789" s="8" t="s">
        <v>5007</v>
      </c>
      <c r="F789" s="8" t="s">
        <v>5008</v>
      </c>
      <c r="G789" s="6" t="s">
        <v>37</v>
      </c>
      <c r="H789" s="6" t="s">
        <v>867</v>
      </c>
      <c r="I789" s="8" t="s">
        <v>54</v>
      </c>
      <c r="J789" s="9">
        <v>1</v>
      </c>
      <c r="K789" s="9">
        <v>570</v>
      </c>
      <c r="L789" s="9">
        <v>2023</v>
      </c>
      <c r="M789" s="8" t="s">
        <v>5009</v>
      </c>
      <c r="N789" s="8" t="s">
        <v>56</v>
      </c>
      <c r="O789" s="8" t="s">
        <v>57</v>
      </c>
      <c r="P789" s="6" t="s">
        <v>69</v>
      </c>
      <c r="Q789" s="8" t="s">
        <v>43</v>
      </c>
      <c r="R789" s="10" t="s">
        <v>5010</v>
      </c>
      <c r="S789" s="11" t="s">
        <v>5011</v>
      </c>
      <c r="T789" s="6"/>
      <c r="U789" s="27" t="str">
        <f>HYPERLINK("https://media.infra-m.ru/1896/1896763/cover/1896763.jpg", "Обложка")</f>
        <v>Обложка</v>
      </c>
      <c r="V789" s="27" t="str">
        <f>HYPERLINK("https://znanium.com/catalog/product/1939110", "Ознакомиться")</f>
        <v>Ознакомиться</v>
      </c>
      <c r="W789" s="8" t="s">
        <v>153</v>
      </c>
      <c r="X789" s="6"/>
      <c r="Y789" s="6"/>
      <c r="Z789" s="6"/>
      <c r="AA789" s="6" t="s">
        <v>301</v>
      </c>
    </row>
    <row r="790" spans="1:27" s="4" customFormat="1" ht="51.95" customHeight="1">
      <c r="A790" s="5">
        <v>0</v>
      </c>
      <c r="B790" s="6" t="s">
        <v>5012</v>
      </c>
      <c r="C790" s="7">
        <v>634.9</v>
      </c>
      <c r="D790" s="8" t="s">
        <v>5013</v>
      </c>
      <c r="E790" s="8" t="s">
        <v>5007</v>
      </c>
      <c r="F790" s="8" t="s">
        <v>5014</v>
      </c>
      <c r="G790" s="6" t="s">
        <v>52</v>
      </c>
      <c r="H790" s="6" t="s">
        <v>98</v>
      </c>
      <c r="I790" s="8" t="s">
        <v>5015</v>
      </c>
      <c r="J790" s="9">
        <v>1</v>
      </c>
      <c r="K790" s="9">
        <v>288</v>
      </c>
      <c r="L790" s="9">
        <v>2020</v>
      </c>
      <c r="M790" s="8" t="s">
        <v>5016</v>
      </c>
      <c r="N790" s="8" t="s">
        <v>56</v>
      </c>
      <c r="O790" s="8" t="s">
        <v>57</v>
      </c>
      <c r="P790" s="6" t="s">
        <v>69</v>
      </c>
      <c r="Q790" s="8" t="s">
        <v>43</v>
      </c>
      <c r="R790" s="10" t="s">
        <v>5017</v>
      </c>
      <c r="S790" s="11" t="s">
        <v>5018</v>
      </c>
      <c r="T790" s="6"/>
      <c r="U790" s="27" t="str">
        <f>HYPERLINK("https://media.infra-m.ru/1047/1047094/cover/1047094.jpg", "Обложка")</f>
        <v>Обложка</v>
      </c>
      <c r="V790" s="27" t="str">
        <f>HYPERLINK("https://znanium.com/catalog/product/1047094", "Ознакомиться")</f>
        <v>Ознакомиться</v>
      </c>
      <c r="W790" s="8" t="s">
        <v>134</v>
      </c>
      <c r="X790" s="6"/>
      <c r="Y790" s="6" t="s">
        <v>30</v>
      </c>
      <c r="Z790" s="6"/>
      <c r="AA790" s="6" t="s">
        <v>135</v>
      </c>
    </row>
    <row r="791" spans="1:27" s="4" customFormat="1" ht="51.95" customHeight="1">
      <c r="A791" s="5">
        <v>0</v>
      </c>
      <c r="B791" s="6" t="s">
        <v>5019</v>
      </c>
      <c r="C791" s="13">
        <v>1844</v>
      </c>
      <c r="D791" s="8" t="s">
        <v>5020</v>
      </c>
      <c r="E791" s="8" t="s">
        <v>5021</v>
      </c>
      <c r="F791" s="8" t="s">
        <v>3182</v>
      </c>
      <c r="G791" s="6" t="s">
        <v>37</v>
      </c>
      <c r="H791" s="6" t="s">
        <v>867</v>
      </c>
      <c r="I791" s="8" t="s">
        <v>54</v>
      </c>
      <c r="J791" s="9">
        <v>1</v>
      </c>
      <c r="K791" s="9">
        <v>400</v>
      </c>
      <c r="L791" s="9">
        <v>2024</v>
      </c>
      <c r="M791" s="8" t="s">
        <v>5022</v>
      </c>
      <c r="N791" s="8" t="s">
        <v>56</v>
      </c>
      <c r="O791" s="8" t="s">
        <v>57</v>
      </c>
      <c r="P791" s="6" t="s">
        <v>69</v>
      </c>
      <c r="Q791" s="8" t="s">
        <v>43</v>
      </c>
      <c r="R791" s="10" t="s">
        <v>4117</v>
      </c>
      <c r="S791" s="11" t="s">
        <v>5023</v>
      </c>
      <c r="T791" s="6"/>
      <c r="U791" s="27" t="str">
        <f>HYPERLINK("https://media.infra-m.ru/2054/2054175/cover/2054175.jpg", "Обложка")</f>
        <v>Обложка</v>
      </c>
      <c r="V791" s="27" t="str">
        <f>HYPERLINK("https://znanium.com/catalog/product/989389", "Ознакомиться")</f>
        <v>Ознакомиться</v>
      </c>
      <c r="W791" s="8" t="s">
        <v>1350</v>
      </c>
      <c r="X791" s="6"/>
      <c r="Y791" s="6"/>
      <c r="Z791" s="6"/>
      <c r="AA791" s="6" t="s">
        <v>5024</v>
      </c>
    </row>
    <row r="792" spans="1:27" s="4" customFormat="1" ht="51.95" customHeight="1">
      <c r="A792" s="5">
        <v>0</v>
      </c>
      <c r="B792" s="6" t="s">
        <v>5025</v>
      </c>
      <c r="C792" s="13">
        <v>1540</v>
      </c>
      <c r="D792" s="8" t="s">
        <v>5026</v>
      </c>
      <c r="E792" s="8" t="s">
        <v>5007</v>
      </c>
      <c r="F792" s="8" t="s">
        <v>5027</v>
      </c>
      <c r="G792" s="6" t="s">
        <v>67</v>
      </c>
      <c r="H792" s="6" t="s">
        <v>265</v>
      </c>
      <c r="I792" s="8" t="s">
        <v>652</v>
      </c>
      <c r="J792" s="9">
        <v>1</v>
      </c>
      <c r="K792" s="9">
        <v>336</v>
      </c>
      <c r="L792" s="9">
        <v>2023</v>
      </c>
      <c r="M792" s="8" t="s">
        <v>5028</v>
      </c>
      <c r="N792" s="8" t="s">
        <v>56</v>
      </c>
      <c r="O792" s="8" t="s">
        <v>57</v>
      </c>
      <c r="P792" s="6" t="s">
        <v>69</v>
      </c>
      <c r="Q792" s="8" t="s">
        <v>654</v>
      </c>
      <c r="R792" s="10" t="s">
        <v>5029</v>
      </c>
      <c r="S792" s="11" t="s">
        <v>5030</v>
      </c>
      <c r="T792" s="6"/>
      <c r="U792" s="27" t="str">
        <f>HYPERLINK("https://media.infra-m.ru/1941/1941732/cover/1941732.jpg", "Обложка")</f>
        <v>Обложка</v>
      </c>
      <c r="V792" s="27" t="str">
        <f>HYPERLINK("https://znanium.com/catalog/product/1044004", "Ознакомиться")</f>
        <v>Ознакомиться</v>
      </c>
      <c r="W792" s="8" t="s">
        <v>269</v>
      </c>
      <c r="X792" s="6"/>
      <c r="Y792" s="6" t="s">
        <v>30</v>
      </c>
      <c r="Z792" s="6"/>
      <c r="AA792" s="6" t="s">
        <v>548</v>
      </c>
    </row>
    <row r="793" spans="1:27" s="4" customFormat="1" ht="51.95" customHeight="1">
      <c r="A793" s="5">
        <v>0</v>
      </c>
      <c r="B793" s="6" t="s">
        <v>5031</v>
      </c>
      <c r="C793" s="13">
        <v>1074.9000000000001</v>
      </c>
      <c r="D793" s="8" t="s">
        <v>5032</v>
      </c>
      <c r="E793" s="8" t="s">
        <v>5007</v>
      </c>
      <c r="F793" s="8" t="s">
        <v>5033</v>
      </c>
      <c r="G793" s="6" t="s">
        <v>37</v>
      </c>
      <c r="H793" s="6" t="s">
        <v>53</v>
      </c>
      <c r="I793" s="8" t="s">
        <v>165</v>
      </c>
      <c r="J793" s="9">
        <v>1</v>
      </c>
      <c r="K793" s="9">
        <v>238</v>
      </c>
      <c r="L793" s="9">
        <v>2023</v>
      </c>
      <c r="M793" s="8" t="s">
        <v>5034</v>
      </c>
      <c r="N793" s="8" t="s">
        <v>56</v>
      </c>
      <c r="O793" s="8" t="s">
        <v>57</v>
      </c>
      <c r="P793" s="6" t="s">
        <v>42</v>
      </c>
      <c r="Q793" s="8" t="s">
        <v>43</v>
      </c>
      <c r="R793" s="10" t="s">
        <v>5035</v>
      </c>
      <c r="S793" s="11" t="s">
        <v>5036</v>
      </c>
      <c r="T793" s="6"/>
      <c r="U793" s="27" t="str">
        <f>HYPERLINK("https://media.infra-m.ru/2044/2044334/cover/2044334.jpg", "Обложка")</f>
        <v>Обложка</v>
      </c>
      <c r="V793" s="27" t="str">
        <f>HYPERLINK("https://znanium.com/catalog/product/1948215", "Ознакомиться")</f>
        <v>Ознакомиться</v>
      </c>
      <c r="W793" s="8" t="s">
        <v>134</v>
      </c>
      <c r="X793" s="6"/>
      <c r="Y793" s="6"/>
      <c r="Z793" s="6"/>
      <c r="AA793" s="6" t="s">
        <v>208</v>
      </c>
    </row>
    <row r="794" spans="1:27" s="4" customFormat="1" ht="51.95" customHeight="1">
      <c r="A794" s="5">
        <v>0</v>
      </c>
      <c r="B794" s="6" t="s">
        <v>5037</v>
      </c>
      <c r="C794" s="13">
        <v>1094</v>
      </c>
      <c r="D794" s="8" t="s">
        <v>5038</v>
      </c>
      <c r="E794" s="8" t="s">
        <v>5007</v>
      </c>
      <c r="F794" s="8" t="s">
        <v>5039</v>
      </c>
      <c r="G794" s="6" t="s">
        <v>37</v>
      </c>
      <c r="H794" s="6" t="s">
        <v>53</v>
      </c>
      <c r="I794" s="8" t="s">
        <v>165</v>
      </c>
      <c r="J794" s="9">
        <v>1</v>
      </c>
      <c r="K794" s="9">
        <v>237</v>
      </c>
      <c r="L794" s="9">
        <v>2024</v>
      </c>
      <c r="M794" s="8" t="s">
        <v>5040</v>
      </c>
      <c r="N794" s="8" t="s">
        <v>56</v>
      </c>
      <c r="O794" s="8" t="s">
        <v>57</v>
      </c>
      <c r="P794" s="6" t="s">
        <v>42</v>
      </c>
      <c r="Q794" s="8" t="s">
        <v>43</v>
      </c>
      <c r="R794" s="10" t="s">
        <v>5041</v>
      </c>
      <c r="S794" s="11" t="s">
        <v>5042</v>
      </c>
      <c r="T794" s="6"/>
      <c r="U794" s="27" t="str">
        <f>HYPERLINK("https://media.infra-m.ru/1891/1891985/cover/1891985.jpg", "Обложка")</f>
        <v>Обложка</v>
      </c>
      <c r="V794" s="27" t="str">
        <f>HYPERLINK("https://znanium.com/catalog/product/1215349", "Ознакомиться")</f>
        <v>Ознакомиться</v>
      </c>
      <c r="W794" s="8" t="s">
        <v>2761</v>
      </c>
      <c r="X794" s="6"/>
      <c r="Y794" s="6"/>
      <c r="Z794" s="6"/>
      <c r="AA794" s="6" t="s">
        <v>62</v>
      </c>
    </row>
    <row r="795" spans="1:27" s="4" customFormat="1" ht="51.95" customHeight="1">
      <c r="A795" s="5">
        <v>0</v>
      </c>
      <c r="B795" s="6" t="s">
        <v>5043</v>
      </c>
      <c r="C795" s="13">
        <v>1074.9000000000001</v>
      </c>
      <c r="D795" s="8" t="s">
        <v>5044</v>
      </c>
      <c r="E795" s="8" t="s">
        <v>5045</v>
      </c>
      <c r="F795" s="8" t="s">
        <v>3057</v>
      </c>
      <c r="G795" s="6" t="s">
        <v>37</v>
      </c>
      <c r="H795" s="6" t="s">
        <v>53</v>
      </c>
      <c r="I795" s="8" t="s">
        <v>165</v>
      </c>
      <c r="J795" s="9">
        <v>1</v>
      </c>
      <c r="K795" s="9">
        <v>315</v>
      </c>
      <c r="L795" s="9">
        <v>2020</v>
      </c>
      <c r="M795" s="8" t="s">
        <v>5046</v>
      </c>
      <c r="N795" s="8" t="s">
        <v>56</v>
      </c>
      <c r="O795" s="8" t="s">
        <v>57</v>
      </c>
      <c r="P795" s="6" t="s">
        <v>42</v>
      </c>
      <c r="Q795" s="8" t="s">
        <v>43</v>
      </c>
      <c r="R795" s="10" t="s">
        <v>5047</v>
      </c>
      <c r="S795" s="11" t="s">
        <v>5048</v>
      </c>
      <c r="T795" s="6"/>
      <c r="U795" s="27" t="str">
        <f>HYPERLINK("https://media.infra-m.ru/1039/1039270/cover/1039270.jpg", "Обложка")</f>
        <v>Обложка</v>
      </c>
      <c r="V795" s="27" t="str">
        <f>HYPERLINK("https://znanium.com/catalog/product/1039270", "Ознакомиться")</f>
        <v>Ознакомиться</v>
      </c>
      <c r="W795" s="8" t="s">
        <v>134</v>
      </c>
      <c r="X795" s="6"/>
      <c r="Y795" s="6"/>
      <c r="Z795" s="6"/>
      <c r="AA795" s="6" t="s">
        <v>208</v>
      </c>
    </row>
    <row r="796" spans="1:27" s="4" customFormat="1" ht="51.95" customHeight="1">
      <c r="A796" s="5">
        <v>0</v>
      </c>
      <c r="B796" s="6" t="s">
        <v>5049</v>
      </c>
      <c r="C796" s="7">
        <v>520</v>
      </c>
      <c r="D796" s="8" t="s">
        <v>5050</v>
      </c>
      <c r="E796" s="8" t="s">
        <v>5051</v>
      </c>
      <c r="F796" s="8" t="s">
        <v>5052</v>
      </c>
      <c r="G796" s="6" t="s">
        <v>52</v>
      </c>
      <c r="H796" s="6" t="s">
        <v>53</v>
      </c>
      <c r="I796" s="8" t="s">
        <v>174</v>
      </c>
      <c r="J796" s="9">
        <v>1</v>
      </c>
      <c r="K796" s="9">
        <v>104</v>
      </c>
      <c r="L796" s="9">
        <v>2020</v>
      </c>
      <c r="M796" s="8" t="s">
        <v>5053</v>
      </c>
      <c r="N796" s="8" t="s">
        <v>56</v>
      </c>
      <c r="O796" s="8" t="s">
        <v>57</v>
      </c>
      <c r="P796" s="6" t="s">
        <v>42</v>
      </c>
      <c r="Q796" s="8" t="s">
        <v>150</v>
      </c>
      <c r="R796" s="10" t="s">
        <v>1720</v>
      </c>
      <c r="S796" s="11" t="s">
        <v>5054</v>
      </c>
      <c r="T796" s="6"/>
      <c r="U796" s="27" t="str">
        <f>HYPERLINK("https://media.infra-m.ru/0997/0997026/cover/997026.jpg", "Обложка")</f>
        <v>Обложка</v>
      </c>
      <c r="V796" s="27" t="str">
        <f>HYPERLINK("https://znanium.com/catalog/product/997026", "Ознакомиться")</f>
        <v>Ознакомиться</v>
      </c>
      <c r="W796" s="8" t="s">
        <v>46</v>
      </c>
      <c r="X796" s="6"/>
      <c r="Y796" s="6"/>
      <c r="Z796" s="6"/>
      <c r="AA796" s="6" t="s">
        <v>73</v>
      </c>
    </row>
    <row r="797" spans="1:27" s="4" customFormat="1" ht="42" customHeight="1">
      <c r="A797" s="5">
        <v>0</v>
      </c>
      <c r="B797" s="6" t="s">
        <v>5055</v>
      </c>
      <c r="C797" s="13">
        <v>1350</v>
      </c>
      <c r="D797" s="8" t="s">
        <v>5056</v>
      </c>
      <c r="E797" s="8" t="s">
        <v>5057</v>
      </c>
      <c r="F797" s="8" t="s">
        <v>5058</v>
      </c>
      <c r="G797" s="6" t="s">
        <v>67</v>
      </c>
      <c r="H797" s="6" t="s">
        <v>38</v>
      </c>
      <c r="I797" s="8"/>
      <c r="J797" s="9">
        <v>1</v>
      </c>
      <c r="K797" s="9">
        <v>300</v>
      </c>
      <c r="L797" s="9">
        <v>2023</v>
      </c>
      <c r="M797" s="8" t="s">
        <v>5059</v>
      </c>
      <c r="N797" s="8" t="s">
        <v>56</v>
      </c>
      <c r="O797" s="8" t="s">
        <v>57</v>
      </c>
      <c r="P797" s="6" t="s">
        <v>69</v>
      </c>
      <c r="Q797" s="8" t="s">
        <v>43</v>
      </c>
      <c r="R797" s="10" t="s">
        <v>184</v>
      </c>
      <c r="S797" s="11"/>
      <c r="T797" s="6"/>
      <c r="U797" s="27" t="str">
        <f>HYPERLINK("https://media.infra-m.ru/2002/2002632/cover/2002632.jpg", "Обложка")</f>
        <v>Обложка</v>
      </c>
      <c r="V797" s="27" t="str">
        <f>HYPERLINK("https://znanium.com/catalog/product/2002632", "Ознакомиться")</f>
        <v>Ознакомиться</v>
      </c>
      <c r="W797" s="8" t="s">
        <v>2250</v>
      </c>
      <c r="X797" s="6"/>
      <c r="Y797" s="6"/>
      <c r="Z797" s="6"/>
      <c r="AA797" s="6" t="s">
        <v>288</v>
      </c>
    </row>
    <row r="798" spans="1:27" s="4" customFormat="1" ht="51.95" customHeight="1">
      <c r="A798" s="5">
        <v>0</v>
      </c>
      <c r="B798" s="6" t="s">
        <v>5060</v>
      </c>
      <c r="C798" s="13">
        <v>1074</v>
      </c>
      <c r="D798" s="8" t="s">
        <v>5061</v>
      </c>
      <c r="E798" s="8" t="s">
        <v>5062</v>
      </c>
      <c r="F798" s="8" t="s">
        <v>5063</v>
      </c>
      <c r="G798" s="6" t="s">
        <v>37</v>
      </c>
      <c r="H798" s="6" t="s">
        <v>867</v>
      </c>
      <c r="I798" s="8" t="s">
        <v>54</v>
      </c>
      <c r="J798" s="9">
        <v>1</v>
      </c>
      <c r="K798" s="9">
        <v>233</v>
      </c>
      <c r="L798" s="9">
        <v>2024</v>
      </c>
      <c r="M798" s="8" t="s">
        <v>5064</v>
      </c>
      <c r="N798" s="8" t="s">
        <v>56</v>
      </c>
      <c r="O798" s="8" t="s">
        <v>57</v>
      </c>
      <c r="P798" s="6" t="s">
        <v>42</v>
      </c>
      <c r="Q798" s="8" t="s">
        <v>43</v>
      </c>
      <c r="R798" s="10" t="s">
        <v>5065</v>
      </c>
      <c r="S798" s="11" t="s">
        <v>5066</v>
      </c>
      <c r="T798" s="6"/>
      <c r="U798" s="27" t="str">
        <f>HYPERLINK("https://media.infra-m.ru/2061/2061195/cover/2061195.jpg", "Обложка")</f>
        <v>Обложка</v>
      </c>
      <c r="V798" s="27" t="str">
        <f>HYPERLINK("https://znanium.com/catalog/product/929641", "Ознакомиться")</f>
        <v>Ознакомиться</v>
      </c>
      <c r="W798" s="8" t="s">
        <v>5067</v>
      </c>
      <c r="X798" s="6"/>
      <c r="Y798" s="6"/>
      <c r="Z798" s="6"/>
      <c r="AA798" s="6" t="s">
        <v>540</v>
      </c>
    </row>
    <row r="799" spans="1:27" s="4" customFormat="1" ht="51.95" customHeight="1">
      <c r="A799" s="5">
        <v>0</v>
      </c>
      <c r="B799" s="6" t="s">
        <v>5068</v>
      </c>
      <c r="C799" s="7">
        <v>900</v>
      </c>
      <c r="D799" s="8" t="s">
        <v>5069</v>
      </c>
      <c r="E799" s="8" t="s">
        <v>5062</v>
      </c>
      <c r="F799" s="8" t="s">
        <v>5070</v>
      </c>
      <c r="G799" s="6" t="s">
        <v>37</v>
      </c>
      <c r="H799" s="6" t="s">
        <v>53</v>
      </c>
      <c r="I799" s="8" t="s">
        <v>652</v>
      </c>
      <c r="J799" s="9">
        <v>1</v>
      </c>
      <c r="K799" s="9">
        <v>234</v>
      </c>
      <c r="L799" s="9">
        <v>2022</v>
      </c>
      <c r="M799" s="8" t="s">
        <v>5071</v>
      </c>
      <c r="N799" s="8" t="s">
        <v>56</v>
      </c>
      <c r="O799" s="8" t="s">
        <v>57</v>
      </c>
      <c r="P799" s="6" t="s">
        <v>42</v>
      </c>
      <c r="Q799" s="8" t="s">
        <v>654</v>
      </c>
      <c r="R799" s="10" t="s">
        <v>5072</v>
      </c>
      <c r="S799" s="11" t="s">
        <v>5073</v>
      </c>
      <c r="T799" s="6"/>
      <c r="U799" s="27" t="str">
        <f>HYPERLINK("https://media.infra-m.ru/1818/1818225/cover/1818225.jpg", "Обложка")</f>
        <v>Обложка</v>
      </c>
      <c r="V799" s="27" t="str">
        <f>HYPERLINK("https://znanium.com/catalog/product/1818225", "Ознакомиться")</f>
        <v>Ознакомиться</v>
      </c>
      <c r="W799" s="8" t="s">
        <v>5067</v>
      </c>
      <c r="X799" s="6"/>
      <c r="Y799" s="6"/>
      <c r="Z799" s="6" t="s">
        <v>657</v>
      </c>
      <c r="AA799" s="6" t="s">
        <v>226</v>
      </c>
    </row>
    <row r="800" spans="1:27" s="4" customFormat="1" ht="51.95" customHeight="1">
      <c r="A800" s="5">
        <v>0</v>
      </c>
      <c r="B800" s="6" t="s">
        <v>5074</v>
      </c>
      <c r="C800" s="13">
        <v>1040</v>
      </c>
      <c r="D800" s="8" t="s">
        <v>5075</v>
      </c>
      <c r="E800" s="8" t="s">
        <v>5076</v>
      </c>
      <c r="F800" s="8" t="s">
        <v>3365</v>
      </c>
      <c r="G800" s="6" t="s">
        <v>67</v>
      </c>
      <c r="H800" s="6" t="s">
        <v>53</v>
      </c>
      <c r="I800" s="8" t="s">
        <v>54</v>
      </c>
      <c r="J800" s="9">
        <v>1</v>
      </c>
      <c r="K800" s="9">
        <v>224</v>
      </c>
      <c r="L800" s="9">
        <v>2024</v>
      </c>
      <c r="M800" s="8" t="s">
        <v>5077</v>
      </c>
      <c r="N800" s="8" t="s">
        <v>56</v>
      </c>
      <c r="O800" s="8" t="s">
        <v>57</v>
      </c>
      <c r="P800" s="6" t="s">
        <v>42</v>
      </c>
      <c r="Q800" s="8" t="s">
        <v>43</v>
      </c>
      <c r="R800" s="10" t="s">
        <v>285</v>
      </c>
      <c r="S800" s="11" t="s">
        <v>60</v>
      </c>
      <c r="T800" s="6" t="s">
        <v>277</v>
      </c>
      <c r="U800" s="27" t="str">
        <f>HYPERLINK("https://media.infra-m.ru/2084/2084497/cover/2084497.jpg", "Обложка")</f>
        <v>Обложка</v>
      </c>
      <c r="V800" s="27" t="str">
        <f>HYPERLINK("https://znanium.com/catalog/product/2084497", "Ознакомиться")</f>
        <v>Ознакомиться</v>
      </c>
      <c r="W800" s="8" t="s">
        <v>517</v>
      </c>
      <c r="X800" s="6"/>
      <c r="Y800" s="6"/>
      <c r="Z800" s="6"/>
      <c r="AA800" s="6" t="s">
        <v>253</v>
      </c>
    </row>
    <row r="801" spans="1:27" s="4" customFormat="1" ht="51.95" customHeight="1">
      <c r="A801" s="5">
        <v>0</v>
      </c>
      <c r="B801" s="6" t="s">
        <v>5078</v>
      </c>
      <c r="C801" s="13">
        <v>1260</v>
      </c>
      <c r="D801" s="8" t="s">
        <v>5079</v>
      </c>
      <c r="E801" s="8" t="s">
        <v>5080</v>
      </c>
      <c r="F801" s="8" t="s">
        <v>2618</v>
      </c>
      <c r="G801" s="6" t="s">
        <v>67</v>
      </c>
      <c r="H801" s="6" t="s">
        <v>53</v>
      </c>
      <c r="I801" s="8" t="s">
        <v>54</v>
      </c>
      <c r="J801" s="9">
        <v>1</v>
      </c>
      <c r="K801" s="9">
        <v>273</v>
      </c>
      <c r="L801" s="9">
        <v>2023</v>
      </c>
      <c r="M801" s="8" t="s">
        <v>5081</v>
      </c>
      <c r="N801" s="8" t="s">
        <v>56</v>
      </c>
      <c r="O801" s="8" t="s">
        <v>57</v>
      </c>
      <c r="P801" s="6" t="s">
        <v>42</v>
      </c>
      <c r="Q801" s="8" t="s">
        <v>58</v>
      </c>
      <c r="R801" s="10" t="s">
        <v>184</v>
      </c>
      <c r="S801" s="11" t="s">
        <v>60</v>
      </c>
      <c r="T801" s="6"/>
      <c r="U801" s="27" t="str">
        <f>HYPERLINK("https://media.infra-m.ru/2031/2031695/cover/2031695.jpg", "Обложка")</f>
        <v>Обложка</v>
      </c>
      <c r="V801" s="27" t="str">
        <f>HYPERLINK("https://znanium.com/catalog/product/1893799", "Ознакомиться")</f>
        <v>Ознакомиться</v>
      </c>
      <c r="W801" s="8" t="s">
        <v>2022</v>
      </c>
      <c r="X801" s="6"/>
      <c r="Y801" s="6"/>
      <c r="Z801" s="6"/>
      <c r="AA801" s="6" t="s">
        <v>253</v>
      </c>
    </row>
    <row r="802" spans="1:27" s="4" customFormat="1" ht="51.95" customHeight="1">
      <c r="A802" s="5">
        <v>0</v>
      </c>
      <c r="B802" s="6" t="s">
        <v>5082</v>
      </c>
      <c r="C802" s="13">
        <v>1660</v>
      </c>
      <c r="D802" s="8" t="s">
        <v>5083</v>
      </c>
      <c r="E802" s="8" t="s">
        <v>5084</v>
      </c>
      <c r="F802" s="8" t="s">
        <v>88</v>
      </c>
      <c r="G802" s="6" t="s">
        <v>67</v>
      </c>
      <c r="H802" s="6" t="s">
        <v>53</v>
      </c>
      <c r="I802" s="8" t="s">
        <v>54</v>
      </c>
      <c r="J802" s="9">
        <v>1</v>
      </c>
      <c r="K802" s="9">
        <v>361</v>
      </c>
      <c r="L802" s="9">
        <v>2024</v>
      </c>
      <c r="M802" s="8" t="s">
        <v>5085</v>
      </c>
      <c r="N802" s="8" t="s">
        <v>56</v>
      </c>
      <c r="O802" s="8" t="s">
        <v>57</v>
      </c>
      <c r="P802" s="6" t="s">
        <v>69</v>
      </c>
      <c r="Q802" s="8" t="s">
        <v>58</v>
      </c>
      <c r="R802" s="10" t="s">
        <v>5086</v>
      </c>
      <c r="S802" s="11" t="s">
        <v>3376</v>
      </c>
      <c r="T802" s="6"/>
      <c r="U802" s="27" t="str">
        <f>HYPERLINK("https://media.infra-m.ru/2091/2091376/cover/2091376.jpg", "Обложка")</f>
        <v>Обложка</v>
      </c>
      <c r="V802" s="27" t="str">
        <f>HYPERLINK("https://znanium.com/catalog/product/2091376", "Ознакомиться")</f>
        <v>Ознакомиться</v>
      </c>
      <c r="W802" s="8" t="s">
        <v>91</v>
      </c>
      <c r="X802" s="6"/>
      <c r="Y802" s="6"/>
      <c r="Z802" s="6"/>
      <c r="AA802" s="6" t="s">
        <v>226</v>
      </c>
    </row>
    <row r="803" spans="1:27" s="4" customFormat="1" ht="51.95" customHeight="1">
      <c r="A803" s="5">
        <v>0</v>
      </c>
      <c r="B803" s="6" t="s">
        <v>5087</v>
      </c>
      <c r="C803" s="13">
        <v>1610</v>
      </c>
      <c r="D803" s="8" t="s">
        <v>5088</v>
      </c>
      <c r="E803" s="8" t="s">
        <v>5084</v>
      </c>
      <c r="F803" s="8" t="s">
        <v>5089</v>
      </c>
      <c r="G803" s="6" t="s">
        <v>67</v>
      </c>
      <c r="H803" s="6" t="s">
        <v>53</v>
      </c>
      <c r="I803" s="8" t="s">
        <v>54</v>
      </c>
      <c r="J803" s="9">
        <v>1</v>
      </c>
      <c r="K803" s="9">
        <v>349</v>
      </c>
      <c r="L803" s="9">
        <v>2024</v>
      </c>
      <c r="M803" s="8" t="s">
        <v>5090</v>
      </c>
      <c r="N803" s="8" t="s">
        <v>56</v>
      </c>
      <c r="O803" s="8" t="s">
        <v>57</v>
      </c>
      <c r="P803" s="6" t="s">
        <v>69</v>
      </c>
      <c r="Q803" s="8" t="s">
        <v>43</v>
      </c>
      <c r="R803" s="10" t="s">
        <v>5091</v>
      </c>
      <c r="S803" s="11" t="s">
        <v>5092</v>
      </c>
      <c r="T803" s="6"/>
      <c r="U803" s="27" t="str">
        <f>HYPERLINK("https://media.infra-m.ru/2081/2081756/cover/2081756.jpg", "Обложка")</f>
        <v>Обложка</v>
      </c>
      <c r="V803" s="27" t="str">
        <f>HYPERLINK("https://znanium.com/catalog/product/2081756", "Ознакомиться")</f>
        <v>Ознакомиться</v>
      </c>
      <c r="W803" s="8" t="s">
        <v>5093</v>
      </c>
      <c r="X803" s="6"/>
      <c r="Y803" s="6"/>
      <c r="Z803" s="6"/>
      <c r="AA803" s="6" t="s">
        <v>73</v>
      </c>
    </row>
    <row r="804" spans="1:27" s="4" customFormat="1" ht="51.95" customHeight="1">
      <c r="A804" s="5">
        <v>0</v>
      </c>
      <c r="B804" s="6" t="s">
        <v>5094</v>
      </c>
      <c r="C804" s="7">
        <v>834.9</v>
      </c>
      <c r="D804" s="8" t="s">
        <v>5095</v>
      </c>
      <c r="E804" s="8" t="s">
        <v>5084</v>
      </c>
      <c r="F804" s="8" t="s">
        <v>5096</v>
      </c>
      <c r="G804" s="6" t="s">
        <v>52</v>
      </c>
      <c r="H804" s="6" t="s">
        <v>939</v>
      </c>
      <c r="I804" s="8" t="s">
        <v>1067</v>
      </c>
      <c r="J804" s="9">
        <v>1</v>
      </c>
      <c r="K804" s="9">
        <v>184</v>
      </c>
      <c r="L804" s="9">
        <v>2023</v>
      </c>
      <c r="M804" s="8" t="s">
        <v>5097</v>
      </c>
      <c r="N804" s="8" t="s">
        <v>56</v>
      </c>
      <c r="O804" s="8" t="s">
        <v>57</v>
      </c>
      <c r="P804" s="6" t="s">
        <v>42</v>
      </c>
      <c r="Q804" s="8" t="s">
        <v>654</v>
      </c>
      <c r="R804" s="10" t="s">
        <v>5098</v>
      </c>
      <c r="S804" s="11" t="s">
        <v>5099</v>
      </c>
      <c r="T804" s="6"/>
      <c r="U804" s="27" t="str">
        <f>HYPERLINK("https://media.infra-m.ru/1902/1902488/cover/1902488.jpg", "Обложка")</f>
        <v>Обложка</v>
      </c>
      <c r="V804" s="27" t="str">
        <f>HYPERLINK("https://znanium.com/catalog/product/1836737", "Ознакомиться")</f>
        <v>Ознакомиться</v>
      </c>
      <c r="W804" s="8" t="s">
        <v>3412</v>
      </c>
      <c r="X804" s="6"/>
      <c r="Y804" s="6"/>
      <c r="Z804" s="6"/>
      <c r="AA804" s="6" t="s">
        <v>540</v>
      </c>
    </row>
    <row r="805" spans="1:27" s="4" customFormat="1" ht="51.95" customHeight="1">
      <c r="A805" s="5">
        <v>0</v>
      </c>
      <c r="B805" s="6" t="s">
        <v>5100</v>
      </c>
      <c r="C805" s="13">
        <v>1184</v>
      </c>
      <c r="D805" s="8" t="s">
        <v>5101</v>
      </c>
      <c r="E805" s="8" t="s">
        <v>5084</v>
      </c>
      <c r="F805" s="8" t="s">
        <v>5102</v>
      </c>
      <c r="G805" s="6" t="s">
        <v>37</v>
      </c>
      <c r="H805" s="6" t="s">
        <v>265</v>
      </c>
      <c r="I805" s="8" t="s">
        <v>54</v>
      </c>
      <c r="J805" s="9">
        <v>1</v>
      </c>
      <c r="K805" s="9">
        <v>256</v>
      </c>
      <c r="L805" s="9">
        <v>2024</v>
      </c>
      <c r="M805" s="8" t="s">
        <v>5103</v>
      </c>
      <c r="N805" s="8" t="s">
        <v>56</v>
      </c>
      <c r="O805" s="8" t="s">
        <v>57</v>
      </c>
      <c r="P805" s="6" t="s">
        <v>69</v>
      </c>
      <c r="Q805" s="8" t="s">
        <v>43</v>
      </c>
      <c r="R805" s="10" t="s">
        <v>5104</v>
      </c>
      <c r="S805" s="11" t="s">
        <v>5105</v>
      </c>
      <c r="T805" s="6"/>
      <c r="U805" s="27" t="str">
        <f>HYPERLINK("https://media.infra-m.ru/2056/2056619/cover/2056619.jpg", "Обложка")</f>
        <v>Обложка</v>
      </c>
      <c r="V805" s="27" t="str">
        <f>HYPERLINK("https://znanium.com/catalog/product/1860010", "Ознакомиться")</f>
        <v>Ознакомиться</v>
      </c>
      <c r="W805" s="8" t="s">
        <v>134</v>
      </c>
      <c r="X805" s="6"/>
      <c r="Y805" s="6"/>
      <c r="Z805" s="6"/>
      <c r="AA805" s="6" t="s">
        <v>135</v>
      </c>
    </row>
    <row r="806" spans="1:27" s="4" customFormat="1" ht="51.95" customHeight="1">
      <c r="A806" s="5">
        <v>0</v>
      </c>
      <c r="B806" s="6" t="s">
        <v>5106</v>
      </c>
      <c r="C806" s="7">
        <v>960</v>
      </c>
      <c r="D806" s="8" t="s">
        <v>5107</v>
      </c>
      <c r="E806" s="8" t="s">
        <v>5084</v>
      </c>
      <c r="F806" s="8" t="s">
        <v>5108</v>
      </c>
      <c r="G806" s="6" t="s">
        <v>67</v>
      </c>
      <c r="H806" s="6" t="s">
        <v>53</v>
      </c>
      <c r="I806" s="8" t="s">
        <v>130</v>
      </c>
      <c r="J806" s="9">
        <v>1</v>
      </c>
      <c r="K806" s="9">
        <v>208</v>
      </c>
      <c r="L806" s="9">
        <v>2024</v>
      </c>
      <c r="M806" s="8" t="s">
        <v>5109</v>
      </c>
      <c r="N806" s="8" t="s">
        <v>56</v>
      </c>
      <c r="O806" s="8" t="s">
        <v>57</v>
      </c>
      <c r="P806" s="6" t="s">
        <v>42</v>
      </c>
      <c r="Q806" s="8" t="s">
        <v>785</v>
      </c>
      <c r="R806" s="10" t="s">
        <v>5110</v>
      </c>
      <c r="S806" s="11" t="s">
        <v>2568</v>
      </c>
      <c r="T806" s="6"/>
      <c r="U806" s="27" t="str">
        <f>HYPERLINK("https://media.infra-m.ru/2117/2117169/cover/2117169.jpg", "Обложка")</f>
        <v>Обложка</v>
      </c>
      <c r="V806" s="27" t="str">
        <f>HYPERLINK("https://znanium.com/catalog/product/2117169", "Ознакомиться")</f>
        <v>Ознакомиться</v>
      </c>
      <c r="W806" s="8" t="s">
        <v>948</v>
      </c>
      <c r="X806" s="6"/>
      <c r="Y806" s="6"/>
      <c r="Z806" s="6"/>
      <c r="AA806" s="6" t="s">
        <v>592</v>
      </c>
    </row>
    <row r="807" spans="1:27" s="4" customFormat="1" ht="51.95" customHeight="1">
      <c r="A807" s="5">
        <v>0</v>
      </c>
      <c r="B807" s="6" t="s">
        <v>5111</v>
      </c>
      <c r="C807" s="13">
        <v>1380</v>
      </c>
      <c r="D807" s="8" t="s">
        <v>5112</v>
      </c>
      <c r="E807" s="8" t="s">
        <v>5113</v>
      </c>
      <c r="F807" s="8" t="s">
        <v>2618</v>
      </c>
      <c r="G807" s="6" t="s">
        <v>52</v>
      </c>
      <c r="H807" s="6" t="s">
        <v>53</v>
      </c>
      <c r="I807" s="8" t="s">
        <v>114</v>
      </c>
      <c r="J807" s="9">
        <v>1</v>
      </c>
      <c r="K807" s="9">
        <v>300</v>
      </c>
      <c r="L807" s="9">
        <v>2024</v>
      </c>
      <c r="M807" s="8" t="s">
        <v>5114</v>
      </c>
      <c r="N807" s="8" t="s">
        <v>56</v>
      </c>
      <c r="O807" s="8" t="s">
        <v>57</v>
      </c>
      <c r="P807" s="6" t="s">
        <v>116</v>
      </c>
      <c r="Q807" s="8" t="s">
        <v>81</v>
      </c>
      <c r="R807" s="10" t="s">
        <v>1627</v>
      </c>
      <c r="S807" s="11"/>
      <c r="T807" s="6"/>
      <c r="U807" s="27" t="str">
        <f>HYPERLINK("https://media.infra-m.ru/2102/2102184/cover/2102184.jpg", "Обложка")</f>
        <v>Обложка</v>
      </c>
      <c r="V807" s="27" t="str">
        <f>HYPERLINK("https://znanium.com/catalog/product/2102184", "Ознакомиться")</f>
        <v>Ознакомиться</v>
      </c>
      <c r="W807" s="8" t="s">
        <v>2022</v>
      </c>
      <c r="X807" s="6"/>
      <c r="Y807" s="6"/>
      <c r="Z807" s="6"/>
      <c r="AA807" s="6" t="s">
        <v>208</v>
      </c>
    </row>
    <row r="808" spans="1:27" s="4" customFormat="1" ht="51.95" customHeight="1">
      <c r="A808" s="5">
        <v>0</v>
      </c>
      <c r="B808" s="6" t="s">
        <v>5115</v>
      </c>
      <c r="C808" s="7">
        <v>924</v>
      </c>
      <c r="D808" s="8" t="s">
        <v>5116</v>
      </c>
      <c r="E808" s="8" t="s">
        <v>5117</v>
      </c>
      <c r="F808" s="8" t="s">
        <v>5118</v>
      </c>
      <c r="G808" s="6" t="s">
        <v>37</v>
      </c>
      <c r="H808" s="6" t="s">
        <v>53</v>
      </c>
      <c r="I808" s="8" t="s">
        <v>114</v>
      </c>
      <c r="J808" s="9">
        <v>1</v>
      </c>
      <c r="K808" s="9">
        <v>200</v>
      </c>
      <c r="L808" s="9">
        <v>2024</v>
      </c>
      <c r="M808" s="8" t="s">
        <v>5119</v>
      </c>
      <c r="N808" s="8" t="s">
        <v>56</v>
      </c>
      <c r="O808" s="8" t="s">
        <v>57</v>
      </c>
      <c r="P808" s="6" t="s">
        <v>116</v>
      </c>
      <c r="Q808" s="8" t="s">
        <v>81</v>
      </c>
      <c r="R808" s="10" t="s">
        <v>5120</v>
      </c>
      <c r="S808" s="11"/>
      <c r="T808" s="6" t="s">
        <v>277</v>
      </c>
      <c r="U808" s="27" t="str">
        <f>HYPERLINK("https://media.infra-m.ru/2117/2117145/cover/2117145.jpg", "Обложка")</f>
        <v>Обложка</v>
      </c>
      <c r="V808" s="27" t="str">
        <f>HYPERLINK("https://znanium.com/catalog/product/1020287", "Ознакомиться")</f>
        <v>Ознакомиться</v>
      </c>
      <c r="W808" s="8" t="s">
        <v>72</v>
      </c>
      <c r="X808" s="6"/>
      <c r="Y808" s="6"/>
      <c r="Z808" s="6"/>
      <c r="AA808" s="6" t="s">
        <v>253</v>
      </c>
    </row>
    <row r="809" spans="1:27" s="4" customFormat="1" ht="44.1" customHeight="1">
      <c r="A809" s="5">
        <v>0</v>
      </c>
      <c r="B809" s="6" t="s">
        <v>5121</v>
      </c>
      <c r="C809" s="13">
        <v>1594.9</v>
      </c>
      <c r="D809" s="8" t="s">
        <v>5122</v>
      </c>
      <c r="E809" s="8" t="s">
        <v>5123</v>
      </c>
      <c r="F809" s="8" t="s">
        <v>5124</v>
      </c>
      <c r="G809" s="6" t="s">
        <v>37</v>
      </c>
      <c r="H809" s="6" t="s">
        <v>53</v>
      </c>
      <c r="I809" s="8" t="s">
        <v>114</v>
      </c>
      <c r="J809" s="9">
        <v>1</v>
      </c>
      <c r="K809" s="9">
        <v>410</v>
      </c>
      <c r="L809" s="9">
        <v>2022</v>
      </c>
      <c r="M809" s="8" t="s">
        <v>5125</v>
      </c>
      <c r="N809" s="8" t="s">
        <v>56</v>
      </c>
      <c r="O809" s="8" t="s">
        <v>57</v>
      </c>
      <c r="P809" s="6" t="s">
        <v>116</v>
      </c>
      <c r="Q809" s="8" t="s">
        <v>81</v>
      </c>
      <c r="R809" s="10" t="s">
        <v>285</v>
      </c>
      <c r="S809" s="11"/>
      <c r="T809" s="6"/>
      <c r="U809" s="27" t="str">
        <f>HYPERLINK("https://media.infra-m.ru/1831/1831181/cover/1831181.jpg", "Обложка")</f>
        <v>Обложка</v>
      </c>
      <c r="V809" s="27" t="str">
        <f>HYPERLINK("https://znanium.com/catalog/product/1831181", "Ознакомиться")</f>
        <v>Ознакомиться</v>
      </c>
      <c r="W809" s="8" t="s">
        <v>625</v>
      </c>
      <c r="X809" s="6"/>
      <c r="Y809" s="6"/>
      <c r="Z809" s="6"/>
      <c r="AA809" s="6" t="s">
        <v>73</v>
      </c>
    </row>
    <row r="810" spans="1:27" s="4" customFormat="1" ht="51.95" customHeight="1">
      <c r="A810" s="5">
        <v>0</v>
      </c>
      <c r="B810" s="6" t="s">
        <v>5126</v>
      </c>
      <c r="C810" s="7">
        <v>844.9</v>
      </c>
      <c r="D810" s="8" t="s">
        <v>5127</v>
      </c>
      <c r="E810" s="8" t="s">
        <v>5128</v>
      </c>
      <c r="F810" s="8" t="s">
        <v>5129</v>
      </c>
      <c r="G810" s="6" t="s">
        <v>52</v>
      </c>
      <c r="H810" s="6" t="s">
        <v>53</v>
      </c>
      <c r="I810" s="8" t="s">
        <v>165</v>
      </c>
      <c r="J810" s="9">
        <v>1</v>
      </c>
      <c r="K810" s="9">
        <v>188</v>
      </c>
      <c r="L810" s="9">
        <v>2023</v>
      </c>
      <c r="M810" s="8" t="s">
        <v>5130</v>
      </c>
      <c r="N810" s="8" t="s">
        <v>56</v>
      </c>
      <c r="O810" s="8" t="s">
        <v>57</v>
      </c>
      <c r="P810" s="6" t="s">
        <v>69</v>
      </c>
      <c r="Q810" s="8" t="s">
        <v>43</v>
      </c>
      <c r="R810" s="10" t="s">
        <v>5131</v>
      </c>
      <c r="S810" s="11" t="s">
        <v>5132</v>
      </c>
      <c r="T810" s="6"/>
      <c r="U810" s="27" t="str">
        <f>HYPERLINK("https://media.infra-m.ru/1912/1912999/cover/1912999.jpg", "Обложка")</f>
        <v>Обложка</v>
      </c>
      <c r="V810" s="27" t="str">
        <f>HYPERLINK("https://znanium.com/catalog/product/938004", "Ознакомиться")</f>
        <v>Ознакомиться</v>
      </c>
      <c r="W810" s="8" t="s">
        <v>928</v>
      </c>
      <c r="X810" s="6"/>
      <c r="Y810" s="6"/>
      <c r="Z810" s="6"/>
      <c r="AA810" s="6" t="s">
        <v>84</v>
      </c>
    </row>
    <row r="811" spans="1:27" s="4" customFormat="1" ht="42" customHeight="1">
      <c r="A811" s="5">
        <v>0</v>
      </c>
      <c r="B811" s="6" t="s">
        <v>5133</v>
      </c>
      <c r="C811" s="13">
        <v>1280</v>
      </c>
      <c r="D811" s="8" t="s">
        <v>5134</v>
      </c>
      <c r="E811" s="8" t="s">
        <v>5135</v>
      </c>
      <c r="F811" s="8" t="s">
        <v>5136</v>
      </c>
      <c r="G811" s="6" t="s">
        <v>37</v>
      </c>
      <c r="H811" s="6" t="s">
        <v>53</v>
      </c>
      <c r="I811" s="8" t="s">
        <v>114</v>
      </c>
      <c r="J811" s="9">
        <v>1</v>
      </c>
      <c r="K811" s="9">
        <v>284</v>
      </c>
      <c r="L811" s="9">
        <v>2023</v>
      </c>
      <c r="M811" s="8" t="s">
        <v>5137</v>
      </c>
      <c r="N811" s="8" t="s">
        <v>56</v>
      </c>
      <c r="O811" s="8" t="s">
        <v>57</v>
      </c>
      <c r="P811" s="6" t="s">
        <v>116</v>
      </c>
      <c r="Q811" s="8" t="s">
        <v>81</v>
      </c>
      <c r="R811" s="10" t="s">
        <v>5138</v>
      </c>
      <c r="S811" s="11"/>
      <c r="T811" s="6"/>
      <c r="U811" s="27" t="str">
        <f>HYPERLINK("https://media.infra-m.ru/1911/1911655/cover/1911655.jpg", "Обложка")</f>
        <v>Обложка</v>
      </c>
      <c r="V811" s="27" t="str">
        <f>HYPERLINK("https://znanium.com/catalog/product/1911655", "Ознакомиться")</f>
        <v>Ознакомиться</v>
      </c>
      <c r="W811" s="8" t="s">
        <v>5139</v>
      </c>
      <c r="X811" s="6" t="s">
        <v>335</v>
      </c>
      <c r="Y811" s="6"/>
      <c r="Z811" s="6"/>
      <c r="AA811" s="6" t="s">
        <v>93</v>
      </c>
    </row>
    <row r="812" spans="1:27" s="4" customFormat="1" ht="44.1" customHeight="1">
      <c r="A812" s="5">
        <v>0</v>
      </c>
      <c r="B812" s="6" t="s">
        <v>5140</v>
      </c>
      <c r="C812" s="7">
        <v>834.9</v>
      </c>
      <c r="D812" s="8" t="s">
        <v>5141</v>
      </c>
      <c r="E812" s="8" t="s">
        <v>5142</v>
      </c>
      <c r="F812" s="8" t="s">
        <v>5143</v>
      </c>
      <c r="G812" s="6" t="s">
        <v>37</v>
      </c>
      <c r="H812" s="6" t="s">
        <v>53</v>
      </c>
      <c r="I812" s="8" t="s">
        <v>114</v>
      </c>
      <c r="J812" s="9">
        <v>1</v>
      </c>
      <c r="K812" s="9">
        <v>213</v>
      </c>
      <c r="L812" s="9">
        <v>2022</v>
      </c>
      <c r="M812" s="8" t="s">
        <v>5144</v>
      </c>
      <c r="N812" s="8" t="s">
        <v>56</v>
      </c>
      <c r="O812" s="8" t="s">
        <v>57</v>
      </c>
      <c r="P812" s="6" t="s">
        <v>116</v>
      </c>
      <c r="Q812" s="8" t="s">
        <v>81</v>
      </c>
      <c r="R812" s="10" t="s">
        <v>5145</v>
      </c>
      <c r="S812" s="11" t="s">
        <v>5146</v>
      </c>
      <c r="T812" s="6"/>
      <c r="U812" s="27" t="str">
        <f>HYPERLINK("https://media.infra-m.ru/1859/1859041/cover/1859041.jpg", "Обложка")</f>
        <v>Обложка</v>
      </c>
      <c r="V812" s="27" t="str">
        <f>HYPERLINK("https://znanium.com/catalog/product/1010029", "Ознакомиться")</f>
        <v>Ознакомиться</v>
      </c>
      <c r="W812" s="8" t="s">
        <v>5147</v>
      </c>
      <c r="X812" s="6"/>
      <c r="Y812" s="6"/>
      <c r="Z812" s="6"/>
      <c r="AA812" s="6" t="s">
        <v>417</v>
      </c>
    </row>
    <row r="813" spans="1:27" s="4" customFormat="1" ht="51.95" customHeight="1">
      <c r="A813" s="5">
        <v>0</v>
      </c>
      <c r="B813" s="6" t="s">
        <v>5148</v>
      </c>
      <c r="C813" s="13">
        <v>1154.9000000000001</v>
      </c>
      <c r="D813" s="8" t="s">
        <v>5149</v>
      </c>
      <c r="E813" s="8" t="s">
        <v>5150</v>
      </c>
      <c r="F813" s="8" t="s">
        <v>5151</v>
      </c>
      <c r="G813" s="6" t="s">
        <v>37</v>
      </c>
      <c r="H813" s="6" t="s">
        <v>385</v>
      </c>
      <c r="I813" s="8"/>
      <c r="J813" s="9">
        <v>1</v>
      </c>
      <c r="K813" s="9">
        <v>304</v>
      </c>
      <c r="L813" s="9">
        <v>2022</v>
      </c>
      <c r="M813" s="8" t="s">
        <v>5152</v>
      </c>
      <c r="N813" s="8" t="s">
        <v>56</v>
      </c>
      <c r="O813" s="8" t="s">
        <v>57</v>
      </c>
      <c r="P813" s="6" t="s">
        <v>42</v>
      </c>
      <c r="Q813" s="8" t="s">
        <v>43</v>
      </c>
      <c r="R813" s="10" t="s">
        <v>5153</v>
      </c>
      <c r="S813" s="11" t="s">
        <v>5154</v>
      </c>
      <c r="T813" s="6"/>
      <c r="U813" s="27" t="str">
        <f>HYPERLINK("https://media.infra-m.ru/1843/1843617/cover/1843617.jpg", "Обложка")</f>
        <v>Обложка</v>
      </c>
      <c r="V813" s="27" t="str">
        <f>HYPERLINK("https://znanium.com/catalog/product/1027417", "Ознакомиться")</f>
        <v>Ознакомиться</v>
      </c>
      <c r="W813" s="8" t="s">
        <v>841</v>
      </c>
      <c r="X813" s="6"/>
      <c r="Y813" s="6"/>
      <c r="Z813" s="6"/>
      <c r="AA813" s="6" t="s">
        <v>62</v>
      </c>
    </row>
    <row r="814" spans="1:27" s="4" customFormat="1" ht="51.95" customHeight="1">
      <c r="A814" s="5">
        <v>0</v>
      </c>
      <c r="B814" s="6" t="s">
        <v>5155</v>
      </c>
      <c r="C814" s="13">
        <v>1034.9000000000001</v>
      </c>
      <c r="D814" s="8" t="s">
        <v>5156</v>
      </c>
      <c r="E814" s="8" t="s">
        <v>5157</v>
      </c>
      <c r="F814" s="8" t="s">
        <v>5158</v>
      </c>
      <c r="G814" s="6" t="s">
        <v>37</v>
      </c>
      <c r="H814" s="6" t="s">
        <v>53</v>
      </c>
      <c r="I814" s="8" t="s">
        <v>165</v>
      </c>
      <c r="J814" s="9">
        <v>1</v>
      </c>
      <c r="K814" s="9">
        <v>272</v>
      </c>
      <c r="L814" s="9">
        <v>2022</v>
      </c>
      <c r="M814" s="8" t="s">
        <v>5159</v>
      </c>
      <c r="N814" s="8" t="s">
        <v>56</v>
      </c>
      <c r="O814" s="8" t="s">
        <v>57</v>
      </c>
      <c r="P814" s="6" t="s">
        <v>42</v>
      </c>
      <c r="Q814" s="8" t="s">
        <v>43</v>
      </c>
      <c r="R814" s="10" t="s">
        <v>1245</v>
      </c>
      <c r="S814" s="11" t="s">
        <v>5160</v>
      </c>
      <c r="T814" s="6"/>
      <c r="U814" s="27" t="str">
        <f>HYPERLINK("https://media.infra-m.ru/1854/1854798/cover/1854798.jpg", "Обложка")</f>
        <v>Обложка</v>
      </c>
      <c r="V814" s="27" t="str">
        <f>HYPERLINK("https://znanium.com/catalog/product/1085289", "Ознакомиться")</f>
        <v>Ознакомиться</v>
      </c>
      <c r="W814" s="8" t="s">
        <v>5161</v>
      </c>
      <c r="X814" s="6"/>
      <c r="Y814" s="6"/>
      <c r="Z814" s="6"/>
      <c r="AA814" s="6" t="s">
        <v>253</v>
      </c>
    </row>
    <row r="815" spans="1:27" s="4" customFormat="1" ht="42" customHeight="1">
      <c r="A815" s="5">
        <v>0</v>
      </c>
      <c r="B815" s="6" t="s">
        <v>5162</v>
      </c>
      <c r="C815" s="7">
        <v>800</v>
      </c>
      <c r="D815" s="8" t="s">
        <v>5163</v>
      </c>
      <c r="E815" s="8" t="s">
        <v>5164</v>
      </c>
      <c r="F815" s="8" t="s">
        <v>5165</v>
      </c>
      <c r="G815" s="6" t="s">
        <v>52</v>
      </c>
      <c r="H815" s="6" t="s">
        <v>53</v>
      </c>
      <c r="I815" s="8" t="s">
        <v>114</v>
      </c>
      <c r="J815" s="9">
        <v>1</v>
      </c>
      <c r="K815" s="9">
        <v>227</v>
      </c>
      <c r="L815" s="9">
        <v>2020</v>
      </c>
      <c r="M815" s="8" t="s">
        <v>5166</v>
      </c>
      <c r="N815" s="8" t="s">
        <v>56</v>
      </c>
      <c r="O815" s="8" t="s">
        <v>57</v>
      </c>
      <c r="P815" s="6" t="s">
        <v>116</v>
      </c>
      <c r="Q815" s="8" t="s">
        <v>81</v>
      </c>
      <c r="R815" s="10" t="s">
        <v>5167</v>
      </c>
      <c r="S815" s="11"/>
      <c r="T815" s="6"/>
      <c r="U815" s="27" t="str">
        <f>HYPERLINK("https://media.infra-m.ru/1065/1065794/cover/1065794.jpg", "Обложка")</f>
        <v>Обложка</v>
      </c>
      <c r="V815" s="27" t="str">
        <f>HYPERLINK("https://znanium.com/catalog/product/1065794", "Ознакомиться")</f>
        <v>Ознакомиться</v>
      </c>
      <c r="W815" s="8" t="s">
        <v>287</v>
      </c>
      <c r="X815" s="6"/>
      <c r="Y815" s="6"/>
      <c r="Z815" s="6"/>
      <c r="AA815" s="6" t="s">
        <v>208</v>
      </c>
    </row>
    <row r="816" spans="1:27" s="4" customFormat="1" ht="51.95" customHeight="1">
      <c r="A816" s="5">
        <v>0</v>
      </c>
      <c r="B816" s="6" t="s">
        <v>5168</v>
      </c>
      <c r="C816" s="13">
        <v>1150</v>
      </c>
      <c r="D816" s="8" t="s">
        <v>5169</v>
      </c>
      <c r="E816" s="8" t="s">
        <v>5170</v>
      </c>
      <c r="F816" s="8" t="s">
        <v>5171</v>
      </c>
      <c r="G816" s="6" t="s">
        <v>52</v>
      </c>
      <c r="H816" s="6" t="s">
        <v>53</v>
      </c>
      <c r="I816" s="8" t="s">
        <v>114</v>
      </c>
      <c r="J816" s="9">
        <v>1</v>
      </c>
      <c r="K816" s="9">
        <v>243</v>
      </c>
      <c r="L816" s="9">
        <v>2023</v>
      </c>
      <c r="M816" s="8" t="s">
        <v>5172</v>
      </c>
      <c r="N816" s="8" t="s">
        <v>56</v>
      </c>
      <c r="O816" s="8" t="s">
        <v>57</v>
      </c>
      <c r="P816" s="6" t="s">
        <v>116</v>
      </c>
      <c r="Q816" s="8" t="s">
        <v>81</v>
      </c>
      <c r="R816" s="10" t="s">
        <v>5173</v>
      </c>
      <c r="S816" s="11"/>
      <c r="T816" s="6"/>
      <c r="U816" s="27" t="str">
        <f>HYPERLINK("https://media.infra-m.ru/1900/1900623/cover/1900623.jpg", "Обложка")</f>
        <v>Обложка</v>
      </c>
      <c r="V816" s="27" t="str">
        <f>HYPERLINK("https://znanium.com/catalog/product/1900623", "Ознакомиться")</f>
        <v>Ознакомиться</v>
      </c>
      <c r="W816" s="8" t="s">
        <v>5174</v>
      </c>
      <c r="X816" s="6" t="s">
        <v>335</v>
      </c>
      <c r="Y816" s="6"/>
      <c r="Z816" s="6"/>
      <c r="AA816" s="6" t="s">
        <v>93</v>
      </c>
    </row>
    <row r="817" spans="1:27" s="4" customFormat="1" ht="51.95" customHeight="1">
      <c r="A817" s="5">
        <v>0</v>
      </c>
      <c r="B817" s="6" t="s">
        <v>5175</v>
      </c>
      <c r="C817" s="7">
        <v>694.9</v>
      </c>
      <c r="D817" s="8" t="s">
        <v>5176</v>
      </c>
      <c r="E817" s="8" t="s">
        <v>5177</v>
      </c>
      <c r="F817" s="8" t="s">
        <v>5178</v>
      </c>
      <c r="G817" s="6" t="s">
        <v>37</v>
      </c>
      <c r="H817" s="6" t="s">
        <v>239</v>
      </c>
      <c r="I817" s="8"/>
      <c r="J817" s="9">
        <v>1</v>
      </c>
      <c r="K817" s="9">
        <v>238</v>
      </c>
      <c r="L817" s="9">
        <v>2017</v>
      </c>
      <c r="M817" s="8" t="s">
        <v>5179</v>
      </c>
      <c r="N817" s="8" t="s">
        <v>56</v>
      </c>
      <c r="O817" s="8" t="s">
        <v>57</v>
      </c>
      <c r="P817" s="6" t="s">
        <v>42</v>
      </c>
      <c r="Q817" s="8" t="s">
        <v>43</v>
      </c>
      <c r="R817" s="10" t="s">
        <v>5180</v>
      </c>
      <c r="S817" s="11"/>
      <c r="T817" s="6"/>
      <c r="U817" s="27" t="str">
        <f>HYPERLINK("https://media.infra-m.ru/0882/0882670/cover/882670.jpg", "Обложка")</f>
        <v>Обложка</v>
      </c>
      <c r="V817" s="27" t="str">
        <f>HYPERLINK("https://znanium.com/catalog/product/502885", "Ознакомиться")</f>
        <v>Ознакомиться</v>
      </c>
      <c r="W817" s="8" t="s">
        <v>72</v>
      </c>
      <c r="X817" s="6"/>
      <c r="Y817" s="6"/>
      <c r="Z817" s="6"/>
      <c r="AA817" s="6" t="s">
        <v>540</v>
      </c>
    </row>
    <row r="818" spans="1:27" s="4" customFormat="1" ht="51.95" customHeight="1">
      <c r="A818" s="5">
        <v>0</v>
      </c>
      <c r="B818" s="6" t="s">
        <v>5181</v>
      </c>
      <c r="C818" s="7">
        <v>884</v>
      </c>
      <c r="D818" s="8" t="s">
        <v>5182</v>
      </c>
      <c r="E818" s="8" t="s">
        <v>5183</v>
      </c>
      <c r="F818" s="8" t="s">
        <v>5184</v>
      </c>
      <c r="G818" s="6" t="s">
        <v>52</v>
      </c>
      <c r="H818" s="6" t="s">
        <v>239</v>
      </c>
      <c r="I818" s="8"/>
      <c r="J818" s="9">
        <v>1</v>
      </c>
      <c r="K818" s="9">
        <v>192</v>
      </c>
      <c r="L818" s="9">
        <v>2024</v>
      </c>
      <c r="M818" s="8" t="s">
        <v>5185</v>
      </c>
      <c r="N818" s="8" t="s">
        <v>56</v>
      </c>
      <c r="O818" s="8" t="s">
        <v>57</v>
      </c>
      <c r="P818" s="6" t="s">
        <v>42</v>
      </c>
      <c r="Q818" s="8" t="s">
        <v>43</v>
      </c>
      <c r="R818" s="10" t="s">
        <v>5186</v>
      </c>
      <c r="S818" s="11"/>
      <c r="T818" s="6"/>
      <c r="U818" s="27" t="str">
        <f>HYPERLINK("https://media.infra-m.ru/2102/2102170/cover/2102170.jpg", "Обложка")</f>
        <v>Обложка</v>
      </c>
      <c r="V818" s="27" t="str">
        <f>HYPERLINK("https://znanium.com/catalog/product/1067532", "Ознакомиться")</f>
        <v>Ознакомиться</v>
      </c>
      <c r="W818" s="8" t="s">
        <v>1748</v>
      </c>
      <c r="X818" s="6"/>
      <c r="Y818" s="6"/>
      <c r="Z818" s="6"/>
      <c r="AA818" s="6" t="s">
        <v>208</v>
      </c>
    </row>
    <row r="819" spans="1:27" s="4" customFormat="1" ht="51.95" customHeight="1">
      <c r="A819" s="5">
        <v>0</v>
      </c>
      <c r="B819" s="6" t="s">
        <v>5187</v>
      </c>
      <c r="C819" s="7">
        <v>724</v>
      </c>
      <c r="D819" s="8" t="s">
        <v>5188</v>
      </c>
      <c r="E819" s="8" t="s">
        <v>5189</v>
      </c>
      <c r="F819" s="8" t="s">
        <v>5190</v>
      </c>
      <c r="G819" s="6" t="s">
        <v>37</v>
      </c>
      <c r="H819" s="6" t="s">
        <v>53</v>
      </c>
      <c r="I819" s="8" t="s">
        <v>165</v>
      </c>
      <c r="J819" s="9">
        <v>1</v>
      </c>
      <c r="K819" s="9">
        <v>153</v>
      </c>
      <c r="L819" s="9">
        <v>2023</v>
      </c>
      <c r="M819" s="8" t="s">
        <v>5191</v>
      </c>
      <c r="N819" s="8" t="s">
        <v>56</v>
      </c>
      <c r="O819" s="8" t="s">
        <v>57</v>
      </c>
      <c r="P819" s="6" t="s">
        <v>69</v>
      </c>
      <c r="Q819" s="8" t="s">
        <v>43</v>
      </c>
      <c r="R819" s="10" t="s">
        <v>132</v>
      </c>
      <c r="S819" s="11" t="s">
        <v>260</v>
      </c>
      <c r="T819" s="6"/>
      <c r="U819" s="27" t="str">
        <f>HYPERLINK("https://media.infra-m.ru/2039/2039152/cover/2039152.jpg", "Обложка")</f>
        <v>Обложка</v>
      </c>
      <c r="V819" s="27" t="str">
        <f>HYPERLINK("https://znanium.com/catalog/product/1897324", "Ознакомиться")</f>
        <v>Ознакомиться</v>
      </c>
      <c r="W819" s="8" t="s">
        <v>261</v>
      </c>
      <c r="X819" s="6"/>
      <c r="Y819" s="6"/>
      <c r="Z819" s="6"/>
      <c r="AA819" s="6" t="s">
        <v>84</v>
      </c>
    </row>
    <row r="820" spans="1:27" s="4" customFormat="1" ht="42" customHeight="1">
      <c r="A820" s="5">
        <v>0</v>
      </c>
      <c r="B820" s="6" t="s">
        <v>5192</v>
      </c>
      <c r="C820" s="7">
        <v>704</v>
      </c>
      <c r="D820" s="8" t="s">
        <v>5193</v>
      </c>
      <c r="E820" s="8" t="s">
        <v>5194</v>
      </c>
      <c r="F820" s="8" t="s">
        <v>5195</v>
      </c>
      <c r="G820" s="6" t="s">
        <v>52</v>
      </c>
      <c r="H820" s="6" t="s">
        <v>53</v>
      </c>
      <c r="I820" s="8" t="s">
        <v>114</v>
      </c>
      <c r="J820" s="9">
        <v>1</v>
      </c>
      <c r="K820" s="9">
        <v>154</v>
      </c>
      <c r="L820" s="9">
        <v>2024</v>
      </c>
      <c r="M820" s="8" t="s">
        <v>5196</v>
      </c>
      <c r="N820" s="8" t="s">
        <v>56</v>
      </c>
      <c r="O820" s="8" t="s">
        <v>57</v>
      </c>
      <c r="P820" s="6" t="s">
        <v>116</v>
      </c>
      <c r="Q820" s="8" t="s">
        <v>81</v>
      </c>
      <c r="R820" s="10" t="s">
        <v>132</v>
      </c>
      <c r="S820" s="11"/>
      <c r="T820" s="6"/>
      <c r="U820" s="27" t="str">
        <f>HYPERLINK("https://media.infra-m.ru/2117/2117140/cover/2117140.jpg", "Обложка")</f>
        <v>Обложка</v>
      </c>
      <c r="V820" s="27" t="str">
        <f>HYPERLINK("https://znanium.com/catalog/product/1013439", "Ознакомиться")</f>
        <v>Ознакомиться</v>
      </c>
      <c r="W820" s="8" t="s">
        <v>4096</v>
      </c>
      <c r="X820" s="6"/>
      <c r="Y820" s="6"/>
      <c r="Z820" s="6"/>
      <c r="AA820" s="6" t="s">
        <v>47</v>
      </c>
    </row>
    <row r="821" spans="1:27" s="4" customFormat="1" ht="51.95" customHeight="1">
      <c r="A821" s="5">
        <v>0</v>
      </c>
      <c r="B821" s="6" t="s">
        <v>5197</v>
      </c>
      <c r="C821" s="7">
        <v>760</v>
      </c>
      <c r="D821" s="8" t="s">
        <v>5198</v>
      </c>
      <c r="E821" s="8" t="s">
        <v>5199</v>
      </c>
      <c r="F821" s="8" t="s">
        <v>5200</v>
      </c>
      <c r="G821" s="6" t="s">
        <v>67</v>
      </c>
      <c r="H821" s="6" t="s">
        <v>38</v>
      </c>
      <c r="I821" s="8"/>
      <c r="J821" s="9">
        <v>1</v>
      </c>
      <c r="K821" s="9">
        <v>168</v>
      </c>
      <c r="L821" s="9">
        <v>2023</v>
      </c>
      <c r="M821" s="8" t="s">
        <v>5201</v>
      </c>
      <c r="N821" s="8" t="s">
        <v>56</v>
      </c>
      <c r="O821" s="8" t="s">
        <v>57</v>
      </c>
      <c r="P821" s="6" t="s">
        <v>42</v>
      </c>
      <c r="Q821" s="8" t="s">
        <v>43</v>
      </c>
      <c r="R821" s="10" t="s">
        <v>5202</v>
      </c>
      <c r="S821" s="11" t="s">
        <v>5203</v>
      </c>
      <c r="T821" s="6"/>
      <c r="U821" s="27" t="str">
        <f>HYPERLINK("https://media.infra-m.ru/1905/1905241/cover/1905241.jpg", "Обложка")</f>
        <v>Обложка</v>
      </c>
      <c r="V821" s="27" t="str">
        <f>HYPERLINK("https://znanium.com/catalog/product/1905241", "Ознакомиться")</f>
        <v>Ознакомиться</v>
      </c>
      <c r="W821" s="8" t="s">
        <v>46</v>
      </c>
      <c r="X821" s="6"/>
      <c r="Y821" s="6"/>
      <c r="Z821" s="6"/>
      <c r="AA821" s="6" t="s">
        <v>540</v>
      </c>
    </row>
    <row r="822" spans="1:27" s="4" customFormat="1" ht="42" customHeight="1">
      <c r="A822" s="5">
        <v>0</v>
      </c>
      <c r="B822" s="6" t="s">
        <v>5204</v>
      </c>
      <c r="C822" s="7">
        <v>634</v>
      </c>
      <c r="D822" s="8" t="s">
        <v>5205</v>
      </c>
      <c r="E822" s="8" t="s">
        <v>5206</v>
      </c>
      <c r="F822" s="8" t="s">
        <v>5207</v>
      </c>
      <c r="G822" s="6" t="s">
        <v>52</v>
      </c>
      <c r="H822" s="6" t="s">
        <v>53</v>
      </c>
      <c r="I822" s="8" t="s">
        <v>114</v>
      </c>
      <c r="J822" s="9">
        <v>1</v>
      </c>
      <c r="K822" s="9">
        <v>138</v>
      </c>
      <c r="L822" s="9">
        <v>2023</v>
      </c>
      <c r="M822" s="8" t="s">
        <v>5208</v>
      </c>
      <c r="N822" s="8" t="s">
        <v>56</v>
      </c>
      <c r="O822" s="8" t="s">
        <v>57</v>
      </c>
      <c r="P822" s="6" t="s">
        <v>116</v>
      </c>
      <c r="Q822" s="8" t="s">
        <v>81</v>
      </c>
      <c r="R822" s="10" t="s">
        <v>5209</v>
      </c>
      <c r="S822" s="11"/>
      <c r="T822" s="6"/>
      <c r="U822" s="27" t="str">
        <f>HYPERLINK("https://media.infra-m.ru/2080/2080730/cover/2080730.jpg", "Обложка")</f>
        <v>Обложка</v>
      </c>
      <c r="V822" s="27" t="str">
        <f>HYPERLINK("https://znanium.com/catalog/product/1022270", "Ознакомиться")</f>
        <v>Ознакомиться</v>
      </c>
      <c r="W822" s="8" t="s">
        <v>3127</v>
      </c>
      <c r="X822" s="6"/>
      <c r="Y822" s="6"/>
      <c r="Z822" s="6"/>
      <c r="AA822" s="6" t="s">
        <v>62</v>
      </c>
    </row>
    <row r="823" spans="1:27" s="4" customFormat="1" ht="51.95" customHeight="1">
      <c r="A823" s="5">
        <v>0</v>
      </c>
      <c r="B823" s="6" t="s">
        <v>5210</v>
      </c>
      <c r="C823" s="13">
        <v>1044.9000000000001</v>
      </c>
      <c r="D823" s="8" t="s">
        <v>5211</v>
      </c>
      <c r="E823" s="8" t="s">
        <v>5212</v>
      </c>
      <c r="F823" s="8" t="s">
        <v>2463</v>
      </c>
      <c r="G823" s="6" t="s">
        <v>37</v>
      </c>
      <c r="H823" s="6" t="s">
        <v>53</v>
      </c>
      <c r="I823" s="8" t="s">
        <v>148</v>
      </c>
      <c r="J823" s="9">
        <v>1</v>
      </c>
      <c r="K823" s="9">
        <v>232</v>
      </c>
      <c r="L823" s="9">
        <v>2023</v>
      </c>
      <c r="M823" s="8" t="s">
        <v>5213</v>
      </c>
      <c r="N823" s="8" t="s">
        <v>56</v>
      </c>
      <c r="O823" s="8" t="s">
        <v>57</v>
      </c>
      <c r="P823" s="6" t="s">
        <v>69</v>
      </c>
      <c r="Q823" s="8" t="s">
        <v>150</v>
      </c>
      <c r="R823" s="10" t="s">
        <v>159</v>
      </c>
      <c r="S823" s="11" t="s">
        <v>5214</v>
      </c>
      <c r="T823" s="6"/>
      <c r="U823" s="27" t="str">
        <f>HYPERLINK("https://media.infra-m.ru/2021/2021456/cover/2021456.jpg", "Обложка")</f>
        <v>Обложка</v>
      </c>
      <c r="V823" s="27" t="str">
        <f>HYPERLINK("https://znanium.com/catalog/product/1002556", "Ознакомиться")</f>
        <v>Ознакомиться</v>
      </c>
      <c r="W823" s="8" t="s">
        <v>2466</v>
      </c>
      <c r="X823" s="6"/>
      <c r="Y823" s="6"/>
      <c r="Z823" s="6"/>
      <c r="AA823" s="6" t="s">
        <v>601</v>
      </c>
    </row>
    <row r="824" spans="1:27" s="4" customFormat="1" ht="51.95" customHeight="1">
      <c r="A824" s="5">
        <v>0</v>
      </c>
      <c r="B824" s="6" t="s">
        <v>5215</v>
      </c>
      <c r="C824" s="13">
        <v>1874.9</v>
      </c>
      <c r="D824" s="8" t="s">
        <v>5216</v>
      </c>
      <c r="E824" s="8" t="s">
        <v>5217</v>
      </c>
      <c r="F824" s="8" t="s">
        <v>5218</v>
      </c>
      <c r="G824" s="6" t="s">
        <v>37</v>
      </c>
      <c r="H824" s="6" t="s">
        <v>53</v>
      </c>
      <c r="I824" s="8" t="s">
        <v>165</v>
      </c>
      <c r="J824" s="9">
        <v>1</v>
      </c>
      <c r="K824" s="9">
        <v>416</v>
      </c>
      <c r="L824" s="9">
        <v>2023</v>
      </c>
      <c r="M824" s="8" t="s">
        <v>5219</v>
      </c>
      <c r="N824" s="8" t="s">
        <v>56</v>
      </c>
      <c r="O824" s="8" t="s">
        <v>57</v>
      </c>
      <c r="P824" s="6" t="s">
        <v>69</v>
      </c>
      <c r="Q824" s="8" t="s">
        <v>43</v>
      </c>
      <c r="R824" s="10" t="s">
        <v>2498</v>
      </c>
      <c r="S824" s="11"/>
      <c r="T824" s="6"/>
      <c r="U824" s="27" t="str">
        <f>HYPERLINK("https://media.infra-m.ru/1938/1938862/cover/1938862.jpg", "Обложка")</f>
        <v>Обложка</v>
      </c>
      <c r="V824" s="27" t="str">
        <f>HYPERLINK("https://znanium.com/catalog/product/1002358", "Ознакомиться")</f>
        <v>Ознакомиться</v>
      </c>
      <c r="W824" s="8" t="s">
        <v>1935</v>
      </c>
      <c r="X824" s="6"/>
      <c r="Y824" s="6"/>
      <c r="Z824" s="6"/>
      <c r="AA824" s="6" t="s">
        <v>208</v>
      </c>
    </row>
    <row r="825" spans="1:27" s="4" customFormat="1" ht="51.95" customHeight="1">
      <c r="A825" s="5">
        <v>0</v>
      </c>
      <c r="B825" s="6" t="s">
        <v>5220</v>
      </c>
      <c r="C825" s="7">
        <v>990</v>
      </c>
      <c r="D825" s="8" t="s">
        <v>5221</v>
      </c>
      <c r="E825" s="8" t="s">
        <v>5222</v>
      </c>
      <c r="F825" s="8" t="s">
        <v>5223</v>
      </c>
      <c r="G825" s="6" t="s">
        <v>67</v>
      </c>
      <c r="H825" s="6" t="s">
        <v>53</v>
      </c>
      <c r="I825" s="8" t="s">
        <v>165</v>
      </c>
      <c r="J825" s="9">
        <v>1</v>
      </c>
      <c r="K825" s="9">
        <v>208</v>
      </c>
      <c r="L825" s="9">
        <v>2023</v>
      </c>
      <c r="M825" s="8" t="s">
        <v>5224</v>
      </c>
      <c r="N825" s="8" t="s">
        <v>56</v>
      </c>
      <c r="O825" s="8" t="s">
        <v>57</v>
      </c>
      <c r="P825" s="6" t="s">
        <v>69</v>
      </c>
      <c r="Q825" s="8" t="s">
        <v>43</v>
      </c>
      <c r="R825" s="10" t="s">
        <v>5225</v>
      </c>
      <c r="S825" s="11" t="s">
        <v>5226</v>
      </c>
      <c r="T825" s="6" t="s">
        <v>277</v>
      </c>
      <c r="U825" s="27" t="str">
        <f>HYPERLINK("https://media.infra-m.ru/2057/2057644/cover/2057644.jpg", "Обложка")</f>
        <v>Обложка</v>
      </c>
      <c r="V825" s="27" t="str">
        <f>HYPERLINK("https://znanium.com/catalog/product/990413", "Ознакомиться")</f>
        <v>Ознакомиться</v>
      </c>
      <c r="W825" s="8" t="s">
        <v>2649</v>
      </c>
      <c r="X825" s="6"/>
      <c r="Y825" s="6"/>
      <c r="Z825" s="6"/>
      <c r="AA825" s="6" t="s">
        <v>463</v>
      </c>
    </row>
    <row r="826" spans="1:27" s="4" customFormat="1" ht="51.95" customHeight="1">
      <c r="A826" s="5">
        <v>0</v>
      </c>
      <c r="B826" s="6" t="s">
        <v>5227</v>
      </c>
      <c r="C826" s="7">
        <v>994</v>
      </c>
      <c r="D826" s="8" t="s">
        <v>5228</v>
      </c>
      <c r="E826" s="8" t="s">
        <v>5229</v>
      </c>
      <c r="F826" s="8" t="s">
        <v>5230</v>
      </c>
      <c r="G826" s="6" t="s">
        <v>37</v>
      </c>
      <c r="H826" s="6" t="s">
        <v>98</v>
      </c>
      <c r="I826" s="8" t="s">
        <v>165</v>
      </c>
      <c r="J826" s="9">
        <v>1</v>
      </c>
      <c r="K826" s="9">
        <v>218</v>
      </c>
      <c r="L826" s="9">
        <v>2024</v>
      </c>
      <c r="M826" s="8" t="s">
        <v>5231</v>
      </c>
      <c r="N826" s="8" t="s">
        <v>56</v>
      </c>
      <c r="O826" s="8" t="s">
        <v>57</v>
      </c>
      <c r="P826" s="6" t="s">
        <v>42</v>
      </c>
      <c r="Q826" s="8" t="s">
        <v>43</v>
      </c>
      <c r="R826" s="10" t="s">
        <v>5232</v>
      </c>
      <c r="S826" s="11" t="s">
        <v>5233</v>
      </c>
      <c r="T826" s="6"/>
      <c r="U826" s="27" t="str">
        <f>HYPERLINK("https://media.infra-m.ru/1981/1981604/cover/1981604.jpg", "Обложка")</f>
        <v>Обложка</v>
      </c>
      <c r="V826" s="27" t="str">
        <f>HYPERLINK("https://znanium.com/catalog/product/1014756", "Ознакомиться")</f>
        <v>Ознакомиться</v>
      </c>
      <c r="W826" s="8" t="s">
        <v>4096</v>
      </c>
      <c r="X826" s="6"/>
      <c r="Y826" s="6"/>
      <c r="Z826" s="6"/>
      <c r="AA826" s="6" t="s">
        <v>84</v>
      </c>
    </row>
    <row r="827" spans="1:27" s="4" customFormat="1" ht="42" customHeight="1">
      <c r="A827" s="5">
        <v>0</v>
      </c>
      <c r="B827" s="6" t="s">
        <v>5234</v>
      </c>
      <c r="C827" s="7">
        <v>480</v>
      </c>
      <c r="D827" s="8" t="s">
        <v>5235</v>
      </c>
      <c r="E827" s="8" t="s">
        <v>5236</v>
      </c>
      <c r="F827" s="8" t="s">
        <v>5237</v>
      </c>
      <c r="G827" s="6" t="s">
        <v>52</v>
      </c>
      <c r="H827" s="6" t="s">
        <v>53</v>
      </c>
      <c r="I827" s="8" t="s">
        <v>114</v>
      </c>
      <c r="J827" s="9">
        <v>1</v>
      </c>
      <c r="K827" s="9">
        <v>107</v>
      </c>
      <c r="L827" s="9">
        <v>2023</v>
      </c>
      <c r="M827" s="8" t="s">
        <v>5238</v>
      </c>
      <c r="N827" s="8" t="s">
        <v>56</v>
      </c>
      <c r="O827" s="8" t="s">
        <v>57</v>
      </c>
      <c r="P827" s="6" t="s">
        <v>116</v>
      </c>
      <c r="Q827" s="8" t="s">
        <v>81</v>
      </c>
      <c r="R827" s="10" t="s">
        <v>5239</v>
      </c>
      <c r="S827" s="11"/>
      <c r="T827" s="6"/>
      <c r="U827" s="27" t="str">
        <f>HYPERLINK("https://media.infra-m.ru/1893/1893853/cover/1893853.jpg", "Обложка")</f>
        <v>Обложка</v>
      </c>
      <c r="V827" s="27" t="str">
        <f>HYPERLINK("https://znanium.com/catalog/product/1893853", "Ознакомиться")</f>
        <v>Ознакомиться</v>
      </c>
      <c r="W827" s="8" t="s">
        <v>2649</v>
      </c>
      <c r="X827" s="6"/>
      <c r="Y827" s="6"/>
      <c r="Z827" s="6"/>
      <c r="AA827" s="6" t="s">
        <v>73</v>
      </c>
    </row>
    <row r="828" spans="1:27" s="4" customFormat="1" ht="51.95" customHeight="1">
      <c r="A828" s="5">
        <v>0</v>
      </c>
      <c r="B828" s="6" t="s">
        <v>5240</v>
      </c>
      <c r="C828" s="7">
        <v>844.9</v>
      </c>
      <c r="D828" s="8" t="s">
        <v>5241</v>
      </c>
      <c r="E828" s="8" t="s">
        <v>5242</v>
      </c>
      <c r="F828" s="8" t="s">
        <v>5243</v>
      </c>
      <c r="G828" s="6" t="s">
        <v>52</v>
      </c>
      <c r="H828" s="6" t="s">
        <v>53</v>
      </c>
      <c r="I828" s="8" t="s">
        <v>148</v>
      </c>
      <c r="J828" s="9">
        <v>1</v>
      </c>
      <c r="K828" s="9">
        <v>188</v>
      </c>
      <c r="L828" s="9">
        <v>2024</v>
      </c>
      <c r="M828" s="8" t="s">
        <v>5244</v>
      </c>
      <c r="N828" s="8" t="s">
        <v>56</v>
      </c>
      <c r="O828" s="8" t="s">
        <v>57</v>
      </c>
      <c r="P828" s="6" t="s">
        <v>42</v>
      </c>
      <c r="Q828" s="8" t="s">
        <v>150</v>
      </c>
      <c r="R828" s="10" t="s">
        <v>3812</v>
      </c>
      <c r="S828" s="11" t="s">
        <v>5245</v>
      </c>
      <c r="T828" s="6"/>
      <c r="U828" s="27" t="str">
        <f>HYPERLINK("https://media.infra-m.ru/2044/2044318/cover/2044318.jpg", "Обложка")</f>
        <v>Обложка</v>
      </c>
      <c r="V828" s="27" t="str">
        <f>HYPERLINK("https://znanium.com/catalog/product/1844323", "Ознакомиться")</f>
        <v>Ознакомиться</v>
      </c>
      <c r="W828" s="8" t="s">
        <v>91</v>
      </c>
      <c r="X828" s="6"/>
      <c r="Y828" s="6"/>
      <c r="Z828" s="6"/>
      <c r="AA828" s="6" t="s">
        <v>208</v>
      </c>
    </row>
    <row r="829" spans="1:27" s="4" customFormat="1" ht="51.95" customHeight="1">
      <c r="A829" s="5">
        <v>0</v>
      </c>
      <c r="B829" s="6" t="s">
        <v>5246</v>
      </c>
      <c r="C829" s="13">
        <v>1774</v>
      </c>
      <c r="D829" s="8" t="s">
        <v>5247</v>
      </c>
      <c r="E829" s="8" t="s">
        <v>5248</v>
      </c>
      <c r="F829" s="8" t="s">
        <v>5249</v>
      </c>
      <c r="G829" s="6" t="s">
        <v>37</v>
      </c>
      <c r="H829" s="6" t="s">
        <v>265</v>
      </c>
      <c r="I829" s="8" t="s">
        <v>54</v>
      </c>
      <c r="J829" s="9">
        <v>1</v>
      </c>
      <c r="K829" s="9">
        <v>384</v>
      </c>
      <c r="L829" s="9">
        <v>2023</v>
      </c>
      <c r="M829" s="8" t="s">
        <v>5250</v>
      </c>
      <c r="N829" s="8" t="s">
        <v>56</v>
      </c>
      <c r="O829" s="8" t="s">
        <v>57</v>
      </c>
      <c r="P829" s="6" t="s">
        <v>69</v>
      </c>
      <c r="Q829" s="8" t="s">
        <v>150</v>
      </c>
      <c r="R829" s="10" t="s">
        <v>319</v>
      </c>
      <c r="S829" s="11" t="s">
        <v>5251</v>
      </c>
      <c r="T829" s="6"/>
      <c r="U829" s="27" t="str">
        <f>HYPERLINK("https://media.infra-m.ru/1913/1913020/cover/1913020.jpg", "Обложка")</f>
        <v>Обложка</v>
      </c>
      <c r="V829" s="27" t="str">
        <f>HYPERLINK("https://znanium.com/catalog/product/986901", "Ознакомиться")</f>
        <v>Ознакомиться</v>
      </c>
      <c r="W829" s="8" t="s">
        <v>269</v>
      </c>
      <c r="X829" s="6"/>
      <c r="Y829" s="6"/>
      <c r="Z829" s="6"/>
      <c r="AA829" s="6" t="s">
        <v>84</v>
      </c>
    </row>
    <row r="830" spans="1:27" s="4" customFormat="1" ht="51.95" customHeight="1">
      <c r="A830" s="5">
        <v>0</v>
      </c>
      <c r="B830" s="6" t="s">
        <v>5252</v>
      </c>
      <c r="C830" s="7">
        <v>814.9</v>
      </c>
      <c r="D830" s="8" t="s">
        <v>5253</v>
      </c>
      <c r="E830" s="8" t="s">
        <v>5254</v>
      </c>
      <c r="F830" s="8" t="s">
        <v>5255</v>
      </c>
      <c r="G830" s="6" t="s">
        <v>52</v>
      </c>
      <c r="H830" s="6" t="s">
        <v>98</v>
      </c>
      <c r="I830" s="8" t="s">
        <v>114</v>
      </c>
      <c r="J830" s="9">
        <v>1</v>
      </c>
      <c r="K830" s="9">
        <v>208</v>
      </c>
      <c r="L830" s="9">
        <v>2022</v>
      </c>
      <c r="M830" s="8" t="s">
        <v>5256</v>
      </c>
      <c r="N830" s="8" t="s">
        <v>56</v>
      </c>
      <c r="O830" s="8" t="s">
        <v>57</v>
      </c>
      <c r="P830" s="6" t="s">
        <v>116</v>
      </c>
      <c r="Q830" s="8" t="s">
        <v>81</v>
      </c>
      <c r="R830" s="10" t="s">
        <v>5257</v>
      </c>
      <c r="S830" s="11"/>
      <c r="T830" s="6"/>
      <c r="U830" s="27" t="str">
        <f>HYPERLINK("https://media.infra-m.ru/1852/1852224/cover/1852224.jpg", "Обложка")</f>
        <v>Обложка</v>
      </c>
      <c r="V830" s="27" t="str">
        <f>HYPERLINK("https://znanium.com/catalog/product/1852224", "Ознакомиться")</f>
        <v>Ознакомиться</v>
      </c>
      <c r="W830" s="8"/>
      <c r="X830" s="6"/>
      <c r="Y830" s="6"/>
      <c r="Z830" s="6"/>
      <c r="AA830" s="6" t="s">
        <v>47</v>
      </c>
    </row>
    <row r="831" spans="1:27" s="4" customFormat="1" ht="51.95" customHeight="1">
      <c r="A831" s="5">
        <v>0</v>
      </c>
      <c r="B831" s="6" t="s">
        <v>5258</v>
      </c>
      <c r="C831" s="13">
        <v>1314</v>
      </c>
      <c r="D831" s="8" t="s">
        <v>5259</v>
      </c>
      <c r="E831" s="8" t="s">
        <v>5260</v>
      </c>
      <c r="F831" s="8" t="s">
        <v>5261</v>
      </c>
      <c r="G831" s="6" t="s">
        <v>37</v>
      </c>
      <c r="H831" s="6" t="s">
        <v>867</v>
      </c>
      <c r="I831" s="8" t="s">
        <v>54</v>
      </c>
      <c r="J831" s="9">
        <v>1</v>
      </c>
      <c r="K831" s="9">
        <v>284</v>
      </c>
      <c r="L831" s="9">
        <v>2024</v>
      </c>
      <c r="M831" s="8" t="s">
        <v>5262</v>
      </c>
      <c r="N831" s="8" t="s">
        <v>56</v>
      </c>
      <c r="O831" s="8" t="s">
        <v>57</v>
      </c>
      <c r="P831" s="6" t="s">
        <v>69</v>
      </c>
      <c r="Q831" s="8" t="s">
        <v>43</v>
      </c>
      <c r="R831" s="10" t="s">
        <v>5263</v>
      </c>
      <c r="S831" s="11" t="s">
        <v>5011</v>
      </c>
      <c r="T831" s="6"/>
      <c r="U831" s="27" t="str">
        <f>HYPERLINK("https://media.infra-m.ru/2058/2058780/cover/2058780.jpg", "Обложка")</f>
        <v>Обложка</v>
      </c>
      <c r="V831" s="27" t="str">
        <f>HYPERLINK("https://znanium.com/catalog/product/1836627", "Ознакомиться")</f>
        <v>Ознакомиться</v>
      </c>
      <c r="W831" s="8" t="s">
        <v>134</v>
      </c>
      <c r="X831" s="6"/>
      <c r="Y831" s="6"/>
      <c r="Z831" s="6"/>
      <c r="AA831" s="6" t="s">
        <v>301</v>
      </c>
    </row>
    <row r="832" spans="1:27" s="4" customFormat="1" ht="42" customHeight="1">
      <c r="A832" s="5">
        <v>0</v>
      </c>
      <c r="B832" s="6" t="s">
        <v>5264</v>
      </c>
      <c r="C832" s="13">
        <v>1154</v>
      </c>
      <c r="D832" s="8" t="s">
        <v>5265</v>
      </c>
      <c r="E832" s="8" t="s">
        <v>5266</v>
      </c>
      <c r="F832" s="8" t="s">
        <v>5267</v>
      </c>
      <c r="G832" s="6" t="s">
        <v>52</v>
      </c>
      <c r="H832" s="6" t="s">
        <v>53</v>
      </c>
      <c r="I832" s="8" t="s">
        <v>114</v>
      </c>
      <c r="J832" s="9">
        <v>1</v>
      </c>
      <c r="K832" s="9">
        <v>250</v>
      </c>
      <c r="L832" s="9">
        <v>2024</v>
      </c>
      <c r="M832" s="8" t="s">
        <v>5268</v>
      </c>
      <c r="N832" s="8" t="s">
        <v>56</v>
      </c>
      <c r="O832" s="8" t="s">
        <v>57</v>
      </c>
      <c r="P832" s="6" t="s">
        <v>116</v>
      </c>
      <c r="Q832" s="8" t="s">
        <v>81</v>
      </c>
      <c r="R832" s="10" t="s">
        <v>1349</v>
      </c>
      <c r="S832" s="11"/>
      <c r="T832" s="6" t="s">
        <v>277</v>
      </c>
      <c r="U832" s="27" t="str">
        <f>HYPERLINK("https://media.infra-m.ru/2106/2106202/cover/2106202.jpg", "Обложка")</f>
        <v>Обложка</v>
      </c>
      <c r="V832" s="27" t="str">
        <f>HYPERLINK("https://znanium.com/catalog/product/1817810", "Ознакомиться")</f>
        <v>Ознакомиться</v>
      </c>
      <c r="W832" s="8" t="s">
        <v>134</v>
      </c>
      <c r="X832" s="6"/>
      <c r="Y832" s="6"/>
      <c r="Z832" s="6"/>
      <c r="AA832" s="6" t="s">
        <v>47</v>
      </c>
    </row>
    <row r="833" spans="1:27" s="4" customFormat="1" ht="51.95" customHeight="1">
      <c r="A833" s="5">
        <v>0</v>
      </c>
      <c r="B833" s="6" t="s">
        <v>5269</v>
      </c>
      <c r="C833" s="13">
        <v>1074.9000000000001</v>
      </c>
      <c r="D833" s="8" t="s">
        <v>5270</v>
      </c>
      <c r="E833" s="8" t="s">
        <v>5271</v>
      </c>
      <c r="F833" s="8" t="s">
        <v>790</v>
      </c>
      <c r="G833" s="6" t="s">
        <v>37</v>
      </c>
      <c r="H833" s="6" t="s">
        <v>53</v>
      </c>
      <c r="I833" s="8" t="s">
        <v>459</v>
      </c>
      <c r="J833" s="9">
        <v>1</v>
      </c>
      <c r="K833" s="9">
        <v>336</v>
      </c>
      <c r="L833" s="9">
        <v>2019</v>
      </c>
      <c r="M833" s="8" t="s">
        <v>5272</v>
      </c>
      <c r="N833" s="8" t="s">
        <v>56</v>
      </c>
      <c r="O833" s="8" t="s">
        <v>57</v>
      </c>
      <c r="P833" s="6" t="s">
        <v>69</v>
      </c>
      <c r="Q833" s="8" t="s">
        <v>81</v>
      </c>
      <c r="R833" s="10" t="s">
        <v>5263</v>
      </c>
      <c r="S833" s="11" t="s">
        <v>3292</v>
      </c>
      <c r="T833" s="6"/>
      <c r="U833" s="27" t="str">
        <f>HYPERLINK("https://media.infra-m.ru/1009/1009437/cover/1009437.jpg", "Обложка")</f>
        <v>Обложка</v>
      </c>
      <c r="V833" s="27" t="str">
        <f>HYPERLINK("https://znanium.com/catalog/product/1852176", "Ознакомиться")</f>
        <v>Ознакомиться</v>
      </c>
      <c r="W833" s="8" t="s">
        <v>287</v>
      </c>
      <c r="X833" s="6"/>
      <c r="Y833" s="6"/>
      <c r="Z833" s="6"/>
      <c r="AA833" s="6" t="s">
        <v>343</v>
      </c>
    </row>
    <row r="834" spans="1:27" s="4" customFormat="1" ht="51.95" customHeight="1">
      <c r="A834" s="5">
        <v>0</v>
      </c>
      <c r="B834" s="6" t="s">
        <v>5273</v>
      </c>
      <c r="C834" s="13">
        <v>1490</v>
      </c>
      <c r="D834" s="8" t="s">
        <v>5274</v>
      </c>
      <c r="E834" s="8" t="s">
        <v>5275</v>
      </c>
      <c r="F834" s="8" t="s">
        <v>5276</v>
      </c>
      <c r="G834" s="6" t="s">
        <v>67</v>
      </c>
      <c r="H834" s="6" t="s">
        <v>53</v>
      </c>
      <c r="I834" s="8" t="s">
        <v>459</v>
      </c>
      <c r="J834" s="9">
        <v>1</v>
      </c>
      <c r="K834" s="9">
        <v>393</v>
      </c>
      <c r="L834" s="9">
        <v>2022</v>
      </c>
      <c r="M834" s="8" t="s">
        <v>5277</v>
      </c>
      <c r="N834" s="8" t="s">
        <v>56</v>
      </c>
      <c r="O834" s="8" t="s">
        <v>57</v>
      </c>
      <c r="P834" s="6" t="s">
        <v>69</v>
      </c>
      <c r="Q834" s="8" t="s">
        <v>81</v>
      </c>
      <c r="R834" s="10" t="s">
        <v>5263</v>
      </c>
      <c r="S834" s="11" t="s">
        <v>3292</v>
      </c>
      <c r="T834" s="6" t="s">
        <v>277</v>
      </c>
      <c r="U834" s="27" t="str">
        <f>HYPERLINK("https://media.infra-m.ru/1852/1852176/cover/1852176.jpg", "Обложка")</f>
        <v>Обложка</v>
      </c>
      <c r="V834" s="27" t="str">
        <f>HYPERLINK("https://znanium.com/catalog/product/1852176", "Ознакомиться")</f>
        <v>Ознакомиться</v>
      </c>
      <c r="W834" s="8" t="s">
        <v>742</v>
      </c>
      <c r="X834" s="6"/>
      <c r="Y834" s="6"/>
      <c r="Z834" s="6"/>
      <c r="AA834" s="6" t="s">
        <v>186</v>
      </c>
    </row>
    <row r="835" spans="1:27" s="4" customFormat="1" ht="51.95" customHeight="1">
      <c r="A835" s="5">
        <v>0</v>
      </c>
      <c r="B835" s="6" t="s">
        <v>5278</v>
      </c>
      <c r="C835" s="7">
        <v>990</v>
      </c>
      <c r="D835" s="8" t="s">
        <v>5279</v>
      </c>
      <c r="E835" s="8" t="s">
        <v>5280</v>
      </c>
      <c r="F835" s="8" t="s">
        <v>5281</v>
      </c>
      <c r="G835" s="6" t="s">
        <v>37</v>
      </c>
      <c r="H835" s="6" t="s">
        <v>38</v>
      </c>
      <c r="I835" s="8" t="s">
        <v>5282</v>
      </c>
      <c r="J835" s="9">
        <v>1</v>
      </c>
      <c r="K835" s="9">
        <v>236</v>
      </c>
      <c r="L835" s="9">
        <v>2022</v>
      </c>
      <c r="M835" s="8" t="s">
        <v>5283</v>
      </c>
      <c r="N835" s="8" t="s">
        <v>56</v>
      </c>
      <c r="O835" s="8" t="s">
        <v>57</v>
      </c>
      <c r="P835" s="6" t="s">
        <v>69</v>
      </c>
      <c r="Q835" s="8" t="s">
        <v>43</v>
      </c>
      <c r="R835" s="10" t="s">
        <v>5284</v>
      </c>
      <c r="S835" s="11" t="s">
        <v>5285</v>
      </c>
      <c r="T835" s="6"/>
      <c r="U835" s="27" t="str">
        <f>HYPERLINK("https://media.infra-m.ru/1864/1864973/cover/1864973.jpg", "Обложка")</f>
        <v>Обложка</v>
      </c>
      <c r="V835" s="27" t="str">
        <f>HYPERLINK("https://znanium.com/catalog/product/1876530", "Ознакомиться")</f>
        <v>Ознакомиться</v>
      </c>
      <c r="W835" s="8" t="s">
        <v>46</v>
      </c>
      <c r="X835" s="6"/>
      <c r="Y835" s="6"/>
      <c r="Z835" s="6"/>
      <c r="AA835" s="6" t="s">
        <v>253</v>
      </c>
    </row>
    <row r="836" spans="1:27" s="4" customFormat="1" ht="42" customHeight="1">
      <c r="A836" s="5">
        <v>0</v>
      </c>
      <c r="B836" s="6" t="s">
        <v>5286</v>
      </c>
      <c r="C836" s="13">
        <v>1200</v>
      </c>
      <c r="D836" s="8" t="s">
        <v>5287</v>
      </c>
      <c r="E836" s="8" t="s">
        <v>5288</v>
      </c>
      <c r="F836" s="8" t="s">
        <v>5289</v>
      </c>
      <c r="G836" s="6" t="s">
        <v>67</v>
      </c>
      <c r="H836" s="6" t="s">
        <v>98</v>
      </c>
      <c r="I836" s="8" t="s">
        <v>565</v>
      </c>
      <c r="J836" s="9">
        <v>1</v>
      </c>
      <c r="K836" s="9">
        <v>266</v>
      </c>
      <c r="L836" s="9">
        <v>2023</v>
      </c>
      <c r="M836" s="8" t="s">
        <v>5290</v>
      </c>
      <c r="N836" s="8" t="s">
        <v>56</v>
      </c>
      <c r="O836" s="8" t="s">
        <v>57</v>
      </c>
      <c r="P836" s="6" t="s">
        <v>42</v>
      </c>
      <c r="Q836" s="8" t="s">
        <v>43</v>
      </c>
      <c r="R836" s="10" t="s">
        <v>1245</v>
      </c>
      <c r="S836" s="11"/>
      <c r="T836" s="6"/>
      <c r="U836" s="27" t="str">
        <f>HYPERLINK("https://media.infra-m.ru/1939/1939083/cover/1939083.jpg", "Обложка")</f>
        <v>Обложка</v>
      </c>
      <c r="V836" s="27" t="str">
        <f>HYPERLINK("https://znanium.com/catalog/product/1939083", "Ознакомиться")</f>
        <v>Ознакомиться</v>
      </c>
      <c r="W836" s="8" t="s">
        <v>1179</v>
      </c>
      <c r="X836" s="6"/>
      <c r="Y836" s="6"/>
      <c r="Z836" s="6"/>
      <c r="AA836" s="6" t="s">
        <v>73</v>
      </c>
    </row>
    <row r="837" spans="1:27" s="4" customFormat="1" ht="42" customHeight="1">
      <c r="A837" s="5">
        <v>0</v>
      </c>
      <c r="B837" s="6" t="s">
        <v>5291</v>
      </c>
      <c r="C837" s="13">
        <v>1274</v>
      </c>
      <c r="D837" s="8" t="s">
        <v>5292</v>
      </c>
      <c r="E837" s="8" t="s">
        <v>5293</v>
      </c>
      <c r="F837" s="8" t="s">
        <v>5294</v>
      </c>
      <c r="G837" s="6" t="s">
        <v>37</v>
      </c>
      <c r="H837" s="6" t="s">
        <v>98</v>
      </c>
      <c r="I837" s="8"/>
      <c r="J837" s="9">
        <v>1</v>
      </c>
      <c r="K837" s="9">
        <v>278</v>
      </c>
      <c r="L837" s="9">
        <v>2024</v>
      </c>
      <c r="M837" s="8" t="s">
        <v>5295</v>
      </c>
      <c r="N837" s="8" t="s">
        <v>56</v>
      </c>
      <c r="O837" s="8" t="s">
        <v>57</v>
      </c>
      <c r="P837" s="6" t="s">
        <v>116</v>
      </c>
      <c r="Q837" s="8" t="s">
        <v>81</v>
      </c>
      <c r="R837" s="10" t="s">
        <v>1602</v>
      </c>
      <c r="S837" s="11"/>
      <c r="T837" s="6"/>
      <c r="U837" s="27" t="str">
        <f>HYPERLINK("https://media.infra-m.ru/2117/2117155/cover/2117155.jpg", "Обложка")</f>
        <v>Обложка</v>
      </c>
      <c r="V837" s="27" t="str">
        <f>HYPERLINK("https://znanium.com/catalog/product/1854952", "Ознакомиться")</f>
        <v>Ознакомиться</v>
      </c>
      <c r="W837" s="8" t="s">
        <v>1350</v>
      </c>
      <c r="X837" s="6"/>
      <c r="Y837" s="6"/>
      <c r="Z837" s="6"/>
      <c r="AA837" s="6" t="s">
        <v>73</v>
      </c>
    </row>
    <row r="838" spans="1:27" s="4" customFormat="1" ht="51.95" customHeight="1">
      <c r="A838" s="5">
        <v>0</v>
      </c>
      <c r="B838" s="6" t="s">
        <v>5296</v>
      </c>
      <c r="C838" s="7">
        <v>994.9</v>
      </c>
      <c r="D838" s="8" t="s">
        <v>5297</v>
      </c>
      <c r="E838" s="8" t="s">
        <v>5298</v>
      </c>
      <c r="F838" s="8" t="s">
        <v>5299</v>
      </c>
      <c r="G838" s="6" t="s">
        <v>37</v>
      </c>
      <c r="H838" s="6" t="s">
        <v>597</v>
      </c>
      <c r="I838" s="8"/>
      <c r="J838" s="9">
        <v>1</v>
      </c>
      <c r="K838" s="9">
        <v>464</v>
      </c>
      <c r="L838" s="9">
        <v>2017</v>
      </c>
      <c r="M838" s="8" t="s">
        <v>5300</v>
      </c>
      <c r="N838" s="8" t="s">
        <v>56</v>
      </c>
      <c r="O838" s="8" t="s">
        <v>57</v>
      </c>
      <c r="P838" s="6" t="s">
        <v>69</v>
      </c>
      <c r="Q838" s="8" t="s">
        <v>43</v>
      </c>
      <c r="R838" s="10" t="s">
        <v>5263</v>
      </c>
      <c r="S838" s="11" t="s">
        <v>5301</v>
      </c>
      <c r="T838" s="6"/>
      <c r="U838" s="27" t="str">
        <f>HYPERLINK("https://media.infra-m.ru/0768/0768580/cover/768580.jpg", "Обложка")</f>
        <v>Обложка</v>
      </c>
      <c r="V838" s="12"/>
      <c r="W838" s="8" t="s">
        <v>1748</v>
      </c>
      <c r="X838" s="6"/>
      <c r="Y838" s="6"/>
      <c r="Z838" s="6"/>
      <c r="AA838" s="6" t="s">
        <v>208</v>
      </c>
    </row>
    <row r="839" spans="1:27" s="4" customFormat="1" ht="51.95" customHeight="1">
      <c r="A839" s="5">
        <v>0</v>
      </c>
      <c r="B839" s="6" t="s">
        <v>5302</v>
      </c>
      <c r="C839" s="13">
        <v>1060</v>
      </c>
      <c r="D839" s="8" t="s">
        <v>5303</v>
      </c>
      <c r="E839" s="8" t="s">
        <v>5298</v>
      </c>
      <c r="F839" s="8" t="s">
        <v>5304</v>
      </c>
      <c r="G839" s="6" t="s">
        <v>67</v>
      </c>
      <c r="H839" s="6" t="s">
        <v>53</v>
      </c>
      <c r="I839" s="8" t="s">
        <v>130</v>
      </c>
      <c r="J839" s="9">
        <v>1</v>
      </c>
      <c r="K839" s="9">
        <v>235</v>
      </c>
      <c r="L839" s="9">
        <v>2023</v>
      </c>
      <c r="M839" s="8" t="s">
        <v>5305</v>
      </c>
      <c r="N839" s="8" t="s">
        <v>56</v>
      </c>
      <c r="O839" s="8" t="s">
        <v>57</v>
      </c>
      <c r="P839" s="6" t="s">
        <v>69</v>
      </c>
      <c r="Q839" s="8" t="s">
        <v>785</v>
      </c>
      <c r="R839" s="10" t="s">
        <v>5047</v>
      </c>
      <c r="S839" s="11" t="s">
        <v>133</v>
      </c>
      <c r="T839" s="6"/>
      <c r="U839" s="27" t="str">
        <f>HYPERLINK("https://media.infra-m.ru/1915/1915461/cover/1915461.jpg", "Обложка")</f>
        <v>Обложка</v>
      </c>
      <c r="V839" s="27" t="str">
        <f>HYPERLINK("https://znanium.com/catalog/product/1915461", "Ознакомиться")</f>
        <v>Ознакомиться</v>
      </c>
      <c r="W839" s="8" t="s">
        <v>72</v>
      </c>
      <c r="X839" s="6"/>
      <c r="Y839" s="6"/>
      <c r="Z839" s="6"/>
      <c r="AA839" s="6" t="s">
        <v>592</v>
      </c>
    </row>
    <row r="840" spans="1:27" s="4" customFormat="1" ht="51.95" customHeight="1">
      <c r="A840" s="5">
        <v>0</v>
      </c>
      <c r="B840" s="6" t="s">
        <v>5306</v>
      </c>
      <c r="C840" s="7">
        <v>924.9</v>
      </c>
      <c r="D840" s="8" t="s">
        <v>5307</v>
      </c>
      <c r="E840" s="8" t="s">
        <v>5298</v>
      </c>
      <c r="F840" s="8" t="s">
        <v>5308</v>
      </c>
      <c r="G840" s="6" t="s">
        <v>37</v>
      </c>
      <c r="H840" s="6" t="s">
        <v>53</v>
      </c>
      <c r="I840" s="8" t="s">
        <v>165</v>
      </c>
      <c r="J840" s="9">
        <v>1</v>
      </c>
      <c r="K840" s="9">
        <v>272</v>
      </c>
      <c r="L840" s="9">
        <v>2020</v>
      </c>
      <c r="M840" s="8" t="s">
        <v>5309</v>
      </c>
      <c r="N840" s="8" t="s">
        <v>56</v>
      </c>
      <c r="O840" s="8" t="s">
        <v>57</v>
      </c>
      <c r="P840" s="6" t="s">
        <v>42</v>
      </c>
      <c r="Q840" s="8" t="s">
        <v>43</v>
      </c>
      <c r="R840" s="10" t="s">
        <v>4347</v>
      </c>
      <c r="S840" s="11" t="s">
        <v>5310</v>
      </c>
      <c r="T840" s="6"/>
      <c r="U840" s="27" t="str">
        <f>HYPERLINK("https://media.infra-m.ru/1088/1088007/cover/1088007.jpg", "Обложка")</f>
        <v>Обложка</v>
      </c>
      <c r="V840" s="27" t="str">
        <f>HYPERLINK("https://znanium.com/catalog/product/1945406", "Ознакомиться")</f>
        <v>Ознакомиться</v>
      </c>
      <c r="W840" s="8" t="s">
        <v>928</v>
      </c>
      <c r="X840" s="6"/>
      <c r="Y840" s="6"/>
      <c r="Z840" s="6"/>
      <c r="AA840" s="6" t="s">
        <v>253</v>
      </c>
    </row>
    <row r="841" spans="1:27" s="4" customFormat="1" ht="51.95" customHeight="1">
      <c r="A841" s="5">
        <v>0</v>
      </c>
      <c r="B841" s="6" t="s">
        <v>5311</v>
      </c>
      <c r="C841" s="7">
        <v>670</v>
      </c>
      <c r="D841" s="8" t="s">
        <v>5312</v>
      </c>
      <c r="E841" s="8" t="s">
        <v>5298</v>
      </c>
      <c r="F841" s="8" t="s">
        <v>5313</v>
      </c>
      <c r="G841" s="6" t="s">
        <v>67</v>
      </c>
      <c r="H841" s="6" t="s">
        <v>53</v>
      </c>
      <c r="I841" s="8" t="s">
        <v>5314</v>
      </c>
      <c r="J841" s="9">
        <v>1</v>
      </c>
      <c r="K841" s="9">
        <v>210</v>
      </c>
      <c r="L841" s="9">
        <v>2019</v>
      </c>
      <c r="M841" s="8" t="s">
        <v>5315</v>
      </c>
      <c r="N841" s="8" t="s">
        <v>56</v>
      </c>
      <c r="O841" s="8" t="s">
        <v>57</v>
      </c>
      <c r="P841" s="6" t="s">
        <v>42</v>
      </c>
      <c r="Q841" s="8" t="s">
        <v>150</v>
      </c>
      <c r="R841" s="10"/>
      <c r="S841" s="11" t="s">
        <v>5316</v>
      </c>
      <c r="T841" s="6"/>
      <c r="U841" s="27" t="str">
        <f>HYPERLINK("https://media.infra-m.ru/0995/0995226/cover/995226.jpg", "Обложка")</f>
        <v>Обложка</v>
      </c>
      <c r="V841" s="12"/>
      <c r="W841" s="8" t="s">
        <v>524</v>
      </c>
      <c r="X841" s="6"/>
      <c r="Y841" s="6"/>
      <c r="Z841" s="6"/>
      <c r="AA841" s="6" t="s">
        <v>73</v>
      </c>
    </row>
    <row r="842" spans="1:27" s="4" customFormat="1" ht="44.1" customHeight="1">
      <c r="A842" s="5">
        <v>0</v>
      </c>
      <c r="B842" s="6" t="s">
        <v>5317</v>
      </c>
      <c r="C842" s="7">
        <v>764.9</v>
      </c>
      <c r="D842" s="8" t="s">
        <v>5318</v>
      </c>
      <c r="E842" s="8" t="s">
        <v>5319</v>
      </c>
      <c r="F842" s="8" t="s">
        <v>5320</v>
      </c>
      <c r="G842" s="6" t="s">
        <v>52</v>
      </c>
      <c r="H842" s="6" t="s">
        <v>38</v>
      </c>
      <c r="I842" s="8" t="s">
        <v>1110</v>
      </c>
      <c r="J842" s="9">
        <v>1</v>
      </c>
      <c r="K842" s="9">
        <v>225</v>
      </c>
      <c r="L842" s="9">
        <v>2019</v>
      </c>
      <c r="M842" s="8" t="s">
        <v>5321</v>
      </c>
      <c r="N842" s="8" t="s">
        <v>56</v>
      </c>
      <c r="O842" s="8" t="s">
        <v>57</v>
      </c>
      <c r="P842" s="6" t="s">
        <v>116</v>
      </c>
      <c r="Q842" s="8" t="s">
        <v>785</v>
      </c>
      <c r="R842" s="10" t="s">
        <v>1245</v>
      </c>
      <c r="S842" s="11"/>
      <c r="T842" s="6"/>
      <c r="U842" s="27" t="str">
        <f>HYPERLINK("https://media.infra-m.ru/1013/1013443/cover/1013443.jpg", "Обложка")</f>
        <v>Обложка</v>
      </c>
      <c r="V842" s="27" t="str">
        <f>HYPERLINK("https://znanium.com/catalog/product/1013443", "Ознакомиться")</f>
        <v>Ознакомиться</v>
      </c>
      <c r="W842" s="8"/>
      <c r="X842" s="6"/>
      <c r="Y842" s="6"/>
      <c r="Z842" s="6"/>
      <c r="AA842" s="6" t="s">
        <v>84</v>
      </c>
    </row>
    <row r="843" spans="1:27" s="4" customFormat="1" ht="51.95" customHeight="1">
      <c r="A843" s="5">
        <v>0</v>
      </c>
      <c r="B843" s="6" t="s">
        <v>5322</v>
      </c>
      <c r="C843" s="13">
        <v>1314.9</v>
      </c>
      <c r="D843" s="8" t="s">
        <v>5323</v>
      </c>
      <c r="E843" s="8" t="s">
        <v>5324</v>
      </c>
      <c r="F843" s="8" t="s">
        <v>97</v>
      </c>
      <c r="G843" s="6" t="s">
        <v>37</v>
      </c>
      <c r="H843" s="6" t="s">
        <v>53</v>
      </c>
      <c r="I843" s="8" t="s">
        <v>459</v>
      </c>
      <c r="J843" s="9">
        <v>1</v>
      </c>
      <c r="K843" s="9">
        <v>345</v>
      </c>
      <c r="L843" s="9">
        <v>2022</v>
      </c>
      <c r="M843" s="8" t="s">
        <v>5325</v>
      </c>
      <c r="N843" s="8" t="s">
        <v>56</v>
      </c>
      <c r="O843" s="8" t="s">
        <v>57</v>
      </c>
      <c r="P843" s="6" t="s">
        <v>69</v>
      </c>
      <c r="Q843" s="8" t="s">
        <v>43</v>
      </c>
      <c r="R843" s="10" t="s">
        <v>2498</v>
      </c>
      <c r="S843" s="11"/>
      <c r="T843" s="6"/>
      <c r="U843" s="27" t="str">
        <f>HYPERLINK("https://media.infra-m.ru/1852/1852612/cover/1852612.jpg", "Обложка")</f>
        <v>Обложка</v>
      </c>
      <c r="V843" s="27" t="str">
        <f>HYPERLINK("https://znanium.com/catalog/product/1039525", "Ознакомиться")</f>
        <v>Ознакомиться</v>
      </c>
      <c r="W843" s="8" t="s">
        <v>287</v>
      </c>
      <c r="X843" s="6"/>
      <c r="Y843" s="6"/>
      <c r="Z843" s="6"/>
      <c r="AA843" s="6" t="s">
        <v>343</v>
      </c>
    </row>
    <row r="844" spans="1:27" s="4" customFormat="1" ht="51.95" customHeight="1">
      <c r="A844" s="5">
        <v>0</v>
      </c>
      <c r="B844" s="6" t="s">
        <v>5326</v>
      </c>
      <c r="C844" s="7">
        <v>930</v>
      </c>
      <c r="D844" s="8" t="s">
        <v>5327</v>
      </c>
      <c r="E844" s="8" t="s">
        <v>5328</v>
      </c>
      <c r="F844" s="8" t="s">
        <v>5329</v>
      </c>
      <c r="G844" s="6" t="s">
        <v>67</v>
      </c>
      <c r="H844" s="6" t="s">
        <v>53</v>
      </c>
      <c r="I844" s="8" t="s">
        <v>114</v>
      </c>
      <c r="J844" s="9">
        <v>1</v>
      </c>
      <c r="K844" s="9">
        <v>237</v>
      </c>
      <c r="L844" s="9">
        <v>2022</v>
      </c>
      <c r="M844" s="8" t="s">
        <v>5330</v>
      </c>
      <c r="N844" s="8" t="s">
        <v>56</v>
      </c>
      <c r="O844" s="8" t="s">
        <v>57</v>
      </c>
      <c r="P844" s="6" t="s">
        <v>116</v>
      </c>
      <c r="Q844" s="8" t="s">
        <v>81</v>
      </c>
      <c r="R844" s="10" t="s">
        <v>5331</v>
      </c>
      <c r="S844" s="11"/>
      <c r="T844" s="6"/>
      <c r="U844" s="27" t="str">
        <f>HYPERLINK("https://media.infra-m.ru/1842/1842069/cover/1842069.jpg", "Обложка")</f>
        <v>Обложка</v>
      </c>
      <c r="V844" s="27" t="str">
        <f>HYPERLINK("https://znanium.com/catalog/product/1842069", "Ознакомиться")</f>
        <v>Ознакомиться</v>
      </c>
      <c r="W844" s="8" t="s">
        <v>269</v>
      </c>
      <c r="X844" s="6"/>
      <c r="Y844" s="6"/>
      <c r="Z844" s="6"/>
      <c r="AA844" s="6" t="s">
        <v>143</v>
      </c>
    </row>
    <row r="845" spans="1:27" s="4" customFormat="1" ht="51.95" customHeight="1">
      <c r="A845" s="5">
        <v>0</v>
      </c>
      <c r="B845" s="6" t="s">
        <v>5332</v>
      </c>
      <c r="C845" s="7">
        <v>974.9</v>
      </c>
      <c r="D845" s="8" t="s">
        <v>5333</v>
      </c>
      <c r="E845" s="8" t="s">
        <v>5334</v>
      </c>
      <c r="F845" s="8" t="s">
        <v>5335</v>
      </c>
      <c r="G845" s="6" t="s">
        <v>52</v>
      </c>
      <c r="H845" s="6" t="s">
        <v>939</v>
      </c>
      <c r="I845" s="8" t="s">
        <v>165</v>
      </c>
      <c r="J845" s="9">
        <v>1</v>
      </c>
      <c r="K845" s="9">
        <v>256</v>
      </c>
      <c r="L845" s="9">
        <v>2022</v>
      </c>
      <c r="M845" s="8" t="s">
        <v>5336</v>
      </c>
      <c r="N845" s="8" t="s">
        <v>56</v>
      </c>
      <c r="O845" s="8" t="s">
        <v>57</v>
      </c>
      <c r="P845" s="6" t="s">
        <v>42</v>
      </c>
      <c r="Q845" s="8" t="s">
        <v>43</v>
      </c>
      <c r="R845" s="10" t="s">
        <v>5337</v>
      </c>
      <c r="S845" s="11" t="s">
        <v>5338</v>
      </c>
      <c r="T845" s="6"/>
      <c r="U845" s="27" t="str">
        <f>HYPERLINK("https://media.infra-m.ru/1850/1850720/cover/1850720.jpg", "Обложка")</f>
        <v>Обложка</v>
      </c>
      <c r="V845" s="12"/>
      <c r="W845" s="8" t="s">
        <v>5339</v>
      </c>
      <c r="X845" s="6"/>
      <c r="Y845" s="6"/>
      <c r="Z845" s="6"/>
      <c r="AA845" s="6" t="s">
        <v>208</v>
      </c>
    </row>
    <row r="846" spans="1:27" s="4" customFormat="1" ht="51.95" customHeight="1">
      <c r="A846" s="5">
        <v>0</v>
      </c>
      <c r="B846" s="6" t="s">
        <v>5340</v>
      </c>
      <c r="C846" s="13">
        <v>1174</v>
      </c>
      <c r="D846" s="8" t="s">
        <v>5341</v>
      </c>
      <c r="E846" s="8" t="s">
        <v>5334</v>
      </c>
      <c r="F846" s="8" t="s">
        <v>5335</v>
      </c>
      <c r="G846" s="6" t="s">
        <v>67</v>
      </c>
      <c r="H846" s="6" t="s">
        <v>939</v>
      </c>
      <c r="I846" s="8" t="s">
        <v>652</v>
      </c>
      <c r="J846" s="9">
        <v>1</v>
      </c>
      <c r="K846" s="9">
        <v>256</v>
      </c>
      <c r="L846" s="9">
        <v>2024</v>
      </c>
      <c r="M846" s="8" t="s">
        <v>5342</v>
      </c>
      <c r="N846" s="8" t="s">
        <v>56</v>
      </c>
      <c r="O846" s="8" t="s">
        <v>57</v>
      </c>
      <c r="P846" s="6" t="s">
        <v>42</v>
      </c>
      <c r="Q846" s="8" t="s">
        <v>654</v>
      </c>
      <c r="R846" s="10" t="s">
        <v>5343</v>
      </c>
      <c r="S846" s="11" t="s">
        <v>5344</v>
      </c>
      <c r="T846" s="6"/>
      <c r="U846" s="27" t="str">
        <f>HYPERLINK("https://media.infra-m.ru/2118/2118076/cover/2118076.jpg", "Обложка")</f>
        <v>Обложка</v>
      </c>
      <c r="V846" s="27" t="str">
        <f>HYPERLINK("https://znanium.com/catalog/product/2008794", "Ознакомиться")</f>
        <v>Ознакомиться</v>
      </c>
      <c r="W846" s="8" t="s">
        <v>5339</v>
      </c>
      <c r="X846" s="6"/>
      <c r="Y846" s="6"/>
      <c r="Z846" s="6" t="s">
        <v>657</v>
      </c>
      <c r="AA846" s="6" t="s">
        <v>510</v>
      </c>
    </row>
    <row r="847" spans="1:27" s="4" customFormat="1" ht="44.1" customHeight="1">
      <c r="A847" s="5">
        <v>0</v>
      </c>
      <c r="B847" s="6" t="s">
        <v>5345</v>
      </c>
      <c r="C847" s="7">
        <v>574</v>
      </c>
      <c r="D847" s="8" t="s">
        <v>5346</v>
      </c>
      <c r="E847" s="8" t="s">
        <v>5347</v>
      </c>
      <c r="F847" s="8" t="s">
        <v>5348</v>
      </c>
      <c r="G847" s="6" t="s">
        <v>52</v>
      </c>
      <c r="H847" s="6" t="s">
        <v>53</v>
      </c>
      <c r="I847" s="8" t="s">
        <v>114</v>
      </c>
      <c r="J847" s="9">
        <v>1</v>
      </c>
      <c r="K847" s="9">
        <v>124</v>
      </c>
      <c r="L847" s="9">
        <v>2023</v>
      </c>
      <c r="M847" s="8" t="s">
        <v>5349</v>
      </c>
      <c r="N847" s="8" t="s">
        <v>56</v>
      </c>
      <c r="O847" s="8" t="s">
        <v>57</v>
      </c>
      <c r="P847" s="6" t="s">
        <v>116</v>
      </c>
      <c r="Q847" s="8" t="s">
        <v>81</v>
      </c>
      <c r="R847" s="10" t="s">
        <v>5350</v>
      </c>
      <c r="S847" s="11"/>
      <c r="T847" s="6"/>
      <c r="U847" s="27" t="str">
        <f>HYPERLINK("https://media.infra-m.ru/2054/2054124/cover/2054124.jpg", "Обложка")</f>
        <v>Обложка</v>
      </c>
      <c r="V847" s="27" t="str">
        <f>HYPERLINK("https://znanium.com/catalog/product/1052185", "Ознакомиться")</f>
        <v>Ознакомиться</v>
      </c>
      <c r="W847" s="8" t="s">
        <v>169</v>
      </c>
      <c r="X847" s="6"/>
      <c r="Y847" s="6"/>
      <c r="Z847" s="6"/>
      <c r="AA847" s="6" t="s">
        <v>253</v>
      </c>
    </row>
    <row r="848" spans="1:27" s="4" customFormat="1" ht="51.95" customHeight="1">
      <c r="A848" s="5">
        <v>0</v>
      </c>
      <c r="B848" s="6" t="s">
        <v>5351</v>
      </c>
      <c r="C848" s="7">
        <v>984.9</v>
      </c>
      <c r="D848" s="8" t="s">
        <v>5352</v>
      </c>
      <c r="E848" s="8" t="s">
        <v>5353</v>
      </c>
      <c r="F848" s="8" t="s">
        <v>4121</v>
      </c>
      <c r="G848" s="6" t="s">
        <v>52</v>
      </c>
      <c r="H848" s="6" t="s">
        <v>53</v>
      </c>
      <c r="I848" s="8" t="s">
        <v>114</v>
      </c>
      <c r="J848" s="9">
        <v>30</v>
      </c>
      <c r="K848" s="9">
        <v>252</v>
      </c>
      <c r="L848" s="9">
        <v>2022</v>
      </c>
      <c r="M848" s="8" t="s">
        <v>5354</v>
      </c>
      <c r="N848" s="8" t="s">
        <v>56</v>
      </c>
      <c r="O848" s="8" t="s">
        <v>57</v>
      </c>
      <c r="P848" s="6" t="s">
        <v>116</v>
      </c>
      <c r="Q848" s="8" t="s">
        <v>81</v>
      </c>
      <c r="R848" s="10" t="s">
        <v>5355</v>
      </c>
      <c r="S848" s="11"/>
      <c r="T848" s="6"/>
      <c r="U848" s="27" t="str">
        <f>HYPERLINK("https://media.infra-m.ru/1844/1844297/cover/1844297.jpg", "Обложка")</f>
        <v>Обложка</v>
      </c>
      <c r="V848" s="27" t="str">
        <f>HYPERLINK("https://znanium.com/catalog/product/1844297", "Ознакомиться")</f>
        <v>Ознакомиться</v>
      </c>
      <c r="W848" s="8" t="s">
        <v>72</v>
      </c>
      <c r="X848" s="6"/>
      <c r="Y848" s="6"/>
      <c r="Z848" s="6"/>
      <c r="AA848" s="6" t="s">
        <v>208</v>
      </c>
    </row>
    <row r="849" spans="1:27" s="4" customFormat="1" ht="51.95" customHeight="1">
      <c r="A849" s="5">
        <v>0</v>
      </c>
      <c r="B849" s="6" t="s">
        <v>5356</v>
      </c>
      <c r="C849" s="13">
        <v>1590</v>
      </c>
      <c r="D849" s="8" t="s">
        <v>5357</v>
      </c>
      <c r="E849" s="8" t="s">
        <v>5358</v>
      </c>
      <c r="F849" s="8" t="s">
        <v>5359</v>
      </c>
      <c r="G849" s="6" t="s">
        <v>67</v>
      </c>
      <c r="H849" s="6" t="s">
        <v>265</v>
      </c>
      <c r="I849" s="8" t="s">
        <v>1067</v>
      </c>
      <c r="J849" s="9">
        <v>1</v>
      </c>
      <c r="K849" s="9">
        <v>352</v>
      </c>
      <c r="L849" s="9">
        <v>2023</v>
      </c>
      <c r="M849" s="8" t="s">
        <v>5360</v>
      </c>
      <c r="N849" s="8" t="s">
        <v>56</v>
      </c>
      <c r="O849" s="8" t="s">
        <v>57</v>
      </c>
      <c r="P849" s="6" t="s">
        <v>69</v>
      </c>
      <c r="Q849" s="8" t="s">
        <v>654</v>
      </c>
      <c r="R849" s="10" t="s">
        <v>2204</v>
      </c>
      <c r="S849" s="11" t="s">
        <v>5361</v>
      </c>
      <c r="T849" s="6"/>
      <c r="U849" s="27" t="str">
        <f>HYPERLINK("https://media.infra-m.ru/2012/2012580/cover/2012580.jpg", "Обложка")</f>
        <v>Обложка</v>
      </c>
      <c r="V849" s="27" t="str">
        <f>HYPERLINK("https://znanium.com/catalog/product/2012580", "Ознакомиться")</f>
        <v>Ознакомиться</v>
      </c>
      <c r="W849" s="8" t="s">
        <v>5362</v>
      </c>
      <c r="X849" s="6"/>
      <c r="Y849" s="6"/>
      <c r="Z849" s="6"/>
      <c r="AA849" s="6" t="s">
        <v>208</v>
      </c>
    </row>
    <row r="850" spans="1:27" s="4" customFormat="1" ht="42" customHeight="1">
      <c r="A850" s="5">
        <v>0</v>
      </c>
      <c r="B850" s="6" t="s">
        <v>5363</v>
      </c>
      <c r="C850" s="7">
        <v>600</v>
      </c>
      <c r="D850" s="8" t="s">
        <v>5364</v>
      </c>
      <c r="E850" s="8" t="s">
        <v>5365</v>
      </c>
      <c r="F850" s="8" t="s">
        <v>5289</v>
      </c>
      <c r="G850" s="6" t="s">
        <v>52</v>
      </c>
      <c r="H850" s="6" t="s">
        <v>98</v>
      </c>
      <c r="I850" s="8" t="s">
        <v>148</v>
      </c>
      <c r="J850" s="9">
        <v>1</v>
      </c>
      <c r="K850" s="9">
        <v>121</v>
      </c>
      <c r="L850" s="9">
        <v>2023</v>
      </c>
      <c r="M850" s="8" t="s">
        <v>5366</v>
      </c>
      <c r="N850" s="8" t="s">
        <v>56</v>
      </c>
      <c r="O850" s="8" t="s">
        <v>57</v>
      </c>
      <c r="P850" s="6" t="s">
        <v>42</v>
      </c>
      <c r="Q850" s="8" t="s">
        <v>150</v>
      </c>
      <c r="R850" s="10" t="s">
        <v>319</v>
      </c>
      <c r="S850" s="11"/>
      <c r="T850" s="6"/>
      <c r="U850" s="27" t="str">
        <f>HYPERLINK("https://media.infra-m.ru/1931/1931476/cover/1931476.jpg", "Обложка")</f>
        <v>Обложка</v>
      </c>
      <c r="V850" s="27" t="str">
        <f>HYPERLINK("https://znanium.com/catalog/product/1931476", "Ознакомиться")</f>
        <v>Ознакомиться</v>
      </c>
      <c r="W850" s="8" t="s">
        <v>1179</v>
      </c>
      <c r="X850" s="6"/>
      <c r="Y850" s="6"/>
      <c r="Z850" s="6"/>
      <c r="AA850" s="6" t="s">
        <v>253</v>
      </c>
    </row>
    <row r="851" spans="1:27" s="4" customFormat="1" ht="51.95" customHeight="1">
      <c r="A851" s="5">
        <v>0</v>
      </c>
      <c r="B851" s="6" t="s">
        <v>5367</v>
      </c>
      <c r="C851" s="13">
        <v>1544.9</v>
      </c>
      <c r="D851" s="8" t="s">
        <v>5368</v>
      </c>
      <c r="E851" s="8" t="s">
        <v>5369</v>
      </c>
      <c r="F851" s="8" t="s">
        <v>2823</v>
      </c>
      <c r="G851" s="6" t="s">
        <v>37</v>
      </c>
      <c r="H851" s="6" t="s">
        <v>867</v>
      </c>
      <c r="I851" s="8" t="s">
        <v>54</v>
      </c>
      <c r="J851" s="9">
        <v>1</v>
      </c>
      <c r="K851" s="9">
        <v>344</v>
      </c>
      <c r="L851" s="9">
        <v>2023</v>
      </c>
      <c r="M851" s="8" t="s">
        <v>5370</v>
      </c>
      <c r="N851" s="8" t="s">
        <v>56</v>
      </c>
      <c r="O851" s="8" t="s">
        <v>57</v>
      </c>
      <c r="P851" s="6" t="s">
        <v>69</v>
      </c>
      <c r="Q851" s="8" t="s">
        <v>43</v>
      </c>
      <c r="R851" s="10" t="s">
        <v>132</v>
      </c>
      <c r="S851" s="11" t="s">
        <v>2681</v>
      </c>
      <c r="T851" s="6"/>
      <c r="U851" s="27" t="str">
        <f>HYPERLINK("https://media.infra-m.ru/1877/1877706/cover/1877706.jpg", "Обложка")</f>
        <v>Обложка</v>
      </c>
      <c r="V851" s="27" t="str">
        <f>HYPERLINK("https://znanium.com/catalog/product/1228805", "Ознакомиться")</f>
        <v>Ознакомиться</v>
      </c>
      <c r="W851" s="8" t="s">
        <v>948</v>
      </c>
      <c r="X851" s="6"/>
      <c r="Y851" s="6"/>
      <c r="Z851" s="6"/>
      <c r="AA851" s="6" t="s">
        <v>5371</v>
      </c>
    </row>
    <row r="852" spans="1:27" s="4" customFormat="1" ht="51.95" customHeight="1">
      <c r="A852" s="5">
        <v>0</v>
      </c>
      <c r="B852" s="6" t="s">
        <v>5372</v>
      </c>
      <c r="C852" s="13">
        <v>1630</v>
      </c>
      <c r="D852" s="8" t="s">
        <v>5373</v>
      </c>
      <c r="E852" s="8" t="s">
        <v>5374</v>
      </c>
      <c r="F852" s="8" t="s">
        <v>5375</v>
      </c>
      <c r="G852" s="6" t="s">
        <v>67</v>
      </c>
      <c r="H852" s="6" t="s">
        <v>98</v>
      </c>
      <c r="I852" s="8" t="s">
        <v>54</v>
      </c>
      <c r="J852" s="9">
        <v>1</v>
      </c>
      <c r="K852" s="9">
        <v>362</v>
      </c>
      <c r="L852" s="9">
        <v>2023</v>
      </c>
      <c r="M852" s="8" t="s">
        <v>5376</v>
      </c>
      <c r="N852" s="8" t="s">
        <v>56</v>
      </c>
      <c r="O852" s="8" t="s">
        <v>57</v>
      </c>
      <c r="P852" s="6" t="s">
        <v>69</v>
      </c>
      <c r="Q852" s="8" t="s">
        <v>58</v>
      </c>
      <c r="R852" s="10" t="s">
        <v>5377</v>
      </c>
      <c r="S852" s="11" t="s">
        <v>5378</v>
      </c>
      <c r="T852" s="6"/>
      <c r="U852" s="27" t="str">
        <f>HYPERLINK("https://media.infra-m.ru/2018/2018249/cover/2018249.jpg", "Обложка")</f>
        <v>Обложка</v>
      </c>
      <c r="V852" s="27" t="str">
        <f>HYPERLINK("https://znanium.com/catalog/product/2018249", "Ознакомиться")</f>
        <v>Ознакомиться</v>
      </c>
      <c r="W852" s="8" t="s">
        <v>134</v>
      </c>
      <c r="X852" s="6"/>
      <c r="Y852" s="6"/>
      <c r="Z852" s="6"/>
      <c r="AA852" s="6" t="s">
        <v>301</v>
      </c>
    </row>
    <row r="853" spans="1:27" s="4" customFormat="1" ht="51.95" customHeight="1">
      <c r="A853" s="5">
        <v>0</v>
      </c>
      <c r="B853" s="6" t="s">
        <v>5379</v>
      </c>
      <c r="C853" s="7">
        <v>664.9</v>
      </c>
      <c r="D853" s="8" t="s">
        <v>5380</v>
      </c>
      <c r="E853" s="8" t="s">
        <v>5381</v>
      </c>
      <c r="F853" s="8" t="s">
        <v>5382</v>
      </c>
      <c r="G853" s="6" t="s">
        <v>52</v>
      </c>
      <c r="H853" s="6" t="s">
        <v>939</v>
      </c>
      <c r="I853" s="8" t="s">
        <v>1067</v>
      </c>
      <c r="J853" s="9">
        <v>1</v>
      </c>
      <c r="K853" s="9">
        <v>176</v>
      </c>
      <c r="L853" s="9">
        <v>2022</v>
      </c>
      <c r="M853" s="8" t="s">
        <v>5383</v>
      </c>
      <c r="N853" s="8" t="s">
        <v>56</v>
      </c>
      <c r="O853" s="8" t="s">
        <v>57</v>
      </c>
      <c r="P853" s="6" t="s">
        <v>42</v>
      </c>
      <c r="Q853" s="8" t="s">
        <v>654</v>
      </c>
      <c r="R853" s="10" t="s">
        <v>1245</v>
      </c>
      <c r="S853" s="11" t="s">
        <v>1946</v>
      </c>
      <c r="T853" s="6"/>
      <c r="U853" s="27" t="str">
        <f>HYPERLINK("https://media.infra-m.ru/1836/1836614/cover/1836614.jpg", "Обложка")</f>
        <v>Обложка</v>
      </c>
      <c r="V853" s="27" t="str">
        <f>HYPERLINK("https://znanium.com/catalog/product/1836614", "Ознакомиться")</f>
        <v>Ознакомиться</v>
      </c>
      <c r="W853" s="8"/>
      <c r="X853" s="6"/>
      <c r="Y853" s="6"/>
      <c r="Z853" s="6"/>
      <c r="AA853" s="6" t="s">
        <v>279</v>
      </c>
    </row>
    <row r="854" spans="1:27" s="4" customFormat="1" ht="51.95" customHeight="1">
      <c r="A854" s="5">
        <v>0</v>
      </c>
      <c r="B854" s="6" t="s">
        <v>5384</v>
      </c>
      <c r="C854" s="7">
        <v>324.89999999999998</v>
      </c>
      <c r="D854" s="8" t="s">
        <v>5385</v>
      </c>
      <c r="E854" s="8" t="s">
        <v>5381</v>
      </c>
      <c r="F854" s="8" t="s">
        <v>5386</v>
      </c>
      <c r="G854" s="6" t="s">
        <v>52</v>
      </c>
      <c r="H854" s="6" t="s">
        <v>98</v>
      </c>
      <c r="I854" s="8" t="s">
        <v>832</v>
      </c>
      <c r="J854" s="9">
        <v>1</v>
      </c>
      <c r="K854" s="9">
        <v>126</v>
      </c>
      <c r="L854" s="9">
        <v>2020</v>
      </c>
      <c r="M854" s="8" t="s">
        <v>5387</v>
      </c>
      <c r="N854" s="8" t="s">
        <v>56</v>
      </c>
      <c r="O854" s="8" t="s">
        <v>57</v>
      </c>
      <c r="P854" s="6" t="s">
        <v>42</v>
      </c>
      <c r="Q854" s="8" t="s">
        <v>43</v>
      </c>
      <c r="R854" s="10" t="s">
        <v>1602</v>
      </c>
      <c r="S854" s="11" t="s">
        <v>5154</v>
      </c>
      <c r="T854" s="6"/>
      <c r="U854" s="27" t="str">
        <f>HYPERLINK("https://media.infra-m.ru/1062/1062387/cover/1062387.jpg", "Обложка")</f>
        <v>Обложка</v>
      </c>
      <c r="V854" s="27" t="str">
        <f>HYPERLINK("https://znanium.com/catalog/product/1062387", "Ознакомиться")</f>
        <v>Ознакомиться</v>
      </c>
      <c r="W854" s="8"/>
      <c r="X854" s="6"/>
      <c r="Y854" s="6"/>
      <c r="Z854" s="6"/>
      <c r="AA854" s="6" t="s">
        <v>5024</v>
      </c>
    </row>
    <row r="855" spans="1:27" s="4" customFormat="1" ht="51.95" customHeight="1">
      <c r="A855" s="5">
        <v>0</v>
      </c>
      <c r="B855" s="6" t="s">
        <v>5388</v>
      </c>
      <c r="C855" s="7">
        <v>114.9</v>
      </c>
      <c r="D855" s="8" t="s">
        <v>5389</v>
      </c>
      <c r="E855" s="8" t="s">
        <v>5374</v>
      </c>
      <c r="F855" s="8"/>
      <c r="G855" s="6" t="s">
        <v>52</v>
      </c>
      <c r="H855" s="6" t="s">
        <v>98</v>
      </c>
      <c r="I855" s="8" t="s">
        <v>297</v>
      </c>
      <c r="J855" s="9">
        <v>320</v>
      </c>
      <c r="K855" s="9">
        <v>96</v>
      </c>
      <c r="L855" s="9">
        <v>2017</v>
      </c>
      <c r="M855" s="8" t="s">
        <v>5390</v>
      </c>
      <c r="N855" s="8" t="s">
        <v>56</v>
      </c>
      <c r="O855" s="8" t="s">
        <v>57</v>
      </c>
      <c r="P855" s="6" t="s">
        <v>299</v>
      </c>
      <c r="Q855" s="8" t="s">
        <v>43</v>
      </c>
      <c r="R855" s="10" t="s">
        <v>5391</v>
      </c>
      <c r="S855" s="11"/>
      <c r="T855" s="6"/>
      <c r="U855" s="27" t="str">
        <f>HYPERLINK("https://media.infra-m.ru/0548/0548661/cover/548661.jpg", "Обложка")</f>
        <v>Обложка</v>
      </c>
      <c r="V855" s="27" t="str">
        <f>HYPERLINK("https://znanium.com/catalog/product/548661", "Ознакомиться")</f>
        <v>Ознакомиться</v>
      </c>
      <c r="W855" s="8"/>
      <c r="X855" s="6"/>
      <c r="Y855" s="6"/>
      <c r="Z855" s="6"/>
      <c r="AA855" s="6" t="s">
        <v>135</v>
      </c>
    </row>
    <row r="856" spans="1:27" s="4" customFormat="1" ht="51.95" customHeight="1">
      <c r="A856" s="5">
        <v>0</v>
      </c>
      <c r="B856" s="6" t="s">
        <v>5392</v>
      </c>
      <c r="C856" s="13">
        <v>1324</v>
      </c>
      <c r="D856" s="8" t="s">
        <v>5393</v>
      </c>
      <c r="E856" s="8" t="s">
        <v>5394</v>
      </c>
      <c r="F856" s="8" t="s">
        <v>5395</v>
      </c>
      <c r="G856" s="6" t="s">
        <v>37</v>
      </c>
      <c r="H856" s="6" t="s">
        <v>53</v>
      </c>
      <c r="I856" s="8" t="s">
        <v>165</v>
      </c>
      <c r="J856" s="9">
        <v>1</v>
      </c>
      <c r="K856" s="9">
        <v>288</v>
      </c>
      <c r="L856" s="9">
        <v>2024</v>
      </c>
      <c r="M856" s="8" t="s">
        <v>5396</v>
      </c>
      <c r="N856" s="8" t="s">
        <v>56</v>
      </c>
      <c r="O856" s="8" t="s">
        <v>57</v>
      </c>
      <c r="P856" s="6" t="s">
        <v>42</v>
      </c>
      <c r="Q856" s="8" t="s">
        <v>43</v>
      </c>
      <c r="R856" s="10" t="s">
        <v>5397</v>
      </c>
      <c r="S856" s="11" t="s">
        <v>5398</v>
      </c>
      <c r="T856" s="6"/>
      <c r="U856" s="27" t="str">
        <f>HYPERLINK("https://media.infra-m.ru/2073/2073411/cover/2073411.jpg", "Обложка")</f>
        <v>Обложка</v>
      </c>
      <c r="V856" s="27" t="str">
        <f>HYPERLINK("https://znanium.com/catalog/product/967134", "Ознакомиться")</f>
        <v>Ознакомиться</v>
      </c>
      <c r="W856" s="8" t="s">
        <v>72</v>
      </c>
      <c r="X856" s="6"/>
      <c r="Y856" s="6"/>
      <c r="Z856" s="6"/>
      <c r="AA856" s="6" t="s">
        <v>308</v>
      </c>
    </row>
    <row r="857" spans="1:27" s="4" customFormat="1" ht="51.95" customHeight="1">
      <c r="A857" s="5">
        <v>0</v>
      </c>
      <c r="B857" s="6" t="s">
        <v>5399</v>
      </c>
      <c r="C857" s="13">
        <v>1550</v>
      </c>
      <c r="D857" s="8" t="s">
        <v>5400</v>
      </c>
      <c r="E857" s="8" t="s">
        <v>5401</v>
      </c>
      <c r="F857" s="8" t="s">
        <v>4152</v>
      </c>
      <c r="G857" s="6" t="s">
        <v>67</v>
      </c>
      <c r="H857" s="6" t="s">
        <v>53</v>
      </c>
      <c r="I857" s="8" t="s">
        <v>54</v>
      </c>
      <c r="J857" s="9">
        <v>1</v>
      </c>
      <c r="K857" s="9">
        <v>330</v>
      </c>
      <c r="L857" s="9">
        <v>2024</v>
      </c>
      <c r="M857" s="8" t="s">
        <v>5402</v>
      </c>
      <c r="N857" s="8" t="s">
        <v>56</v>
      </c>
      <c r="O857" s="8" t="s">
        <v>57</v>
      </c>
      <c r="P857" s="6" t="s">
        <v>69</v>
      </c>
      <c r="Q857" s="8" t="s">
        <v>43</v>
      </c>
      <c r="R857" s="10" t="s">
        <v>5403</v>
      </c>
      <c r="S857" s="11" t="s">
        <v>5404</v>
      </c>
      <c r="T857" s="6" t="s">
        <v>277</v>
      </c>
      <c r="U857" s="27" t="str">
        <f>HYPERLINK("https://media.infra-m.ru/2059/2059559/cover/2059559.jpg", "Обложка")</f>
        <v>Обложка</v>
      </c>
      <c r="V857" s="27" t="str">
        <f>HYPERLINK("https://znanium.com/catalog/product/2059559", "Ознакомиться")</f>
        <v>Ознакомиться</v>
      </c>
      <c r="W857" s="8" t="s">
        <v>3913</v>
      </c>
      <c r="X857" s="6"/>
      <c r="Y857" s="6"/>
      <c r="Z857" s="6"/>
      <c r="AA857" s="6" t="s">
        <v>288</v>
      </c>
    </row>
    <row r="858" spans="1:27" s="4" customFormat="1" ht="44.1" customHeight="1">
      <c r="A858" s="5">
        <v>0</v>
      </c>
      <c r="B858" s="6" t="s">
        <v>5405</v>
      </c>
      <c r="C858" s="13">
        <v>1090</v>
      </c>
      <c r="D858" s="8" t="s">
        <v>5406</v>
      </c>
      <c r="E858" s="8" t="s">
        <v>5407</v>
      </c>
      <c r="F858" s="8" t="s">
        <v>5408</v>
      </c>
      <c r="G858" s="6" t="s">
        <v>52</v>
      </c>
      <c r="H858" s="6" t="s">
        <v>53</v>
      </c>
      <c r="I858" s="8" t="s">
        <v>114</v>
      </c>
      <c r="J858" s="9">
        <v>1</v>
      </c>
      <c r="K858" s="9">
        <v>289</v>
      </c>
      <c r="L858" s="9">
        <v>2022</v>
      </c>
      <c r="M858" s="8" t="s">
        <v>5409</v>
      </c>
      <c r="N858" s="8" t="s">
        <v>56</v>
      </c>
      <c r="O858" s="8" t="s">
        <v>57</v>
      </c>
      <c r="P858" s="6" t="s">
        <v>116</v>
      </c>
      <c r="Q858" s="8" t="s">
        <v>81</v>
      </c>
      <c r="R858" s="10" t="s">
        <v>371</v>
      </c>
      <c r="S858" s="11"/>
      <c r="T858" s="6"/>
      <c r="U858" s="27" t="str">
        <f>HYPERLINK("https://media.infra-m.ru/1760/1760127/cover/1760127.jpg", "Обложка")</f>
        <v>Обложка</v>
      </c>
      <c r="V858" s="27" t="str">
        <f>HYPERLINK("https://znanium.com/catalog/product/1760127", "Ознакомиться")</f>
        <v>Ознакомиться</v>
      </c>
      <c r="W858" s="8" t="s">
        <v>287</v>
      </c>
      <c r="X858" s="6"/>
      <c r="Y858" s="6"/>
      <c r="Z858" s="6"/>
      <c r="AA858" s="6" t="s">
        <v>47</v>
      </c>
    </row>
    <row r="859" spans="1:27" s="4" customFormat="1" ht="51.95" customHeight="1">
      <c r="A859" s="5">
        <v>0</v>
      </c>
      <c r="B859" s="6" t="s">
        <v>5410</v>
      </c>
      <c r="C859" s="7">
        <v>590</v>
      </c>
      <c r="D859" s="8" t="s">
        <v>5411</v>
      </c>
      <c r="E859" s="8" t="s">
        <v>5412</v>
      </c>
      <c r="F859" s="8" t="s">
        <v>1361</v>
      </c>
      <c r="G859" s="6" t="s">
        <v>37</v>
      </c>
      <c r="H859" s="6" t="s">
        <v>53</v>
      </c>
      <c r="I859" s="8" t="s">
        <v>148</v>
      </c>
      <c r="J859" s="9">
        <v>1</v>
      </c>
      <c r="K859" s="9">
        <v>201</v>
      </c>
      <c r="L859" s="9">
        <v>2017</v>
      </c>
      <c r="M859" s="8" t="s">
        <v>5413</v>
      </c>
      <c r="N859" s="8" t="s">
        <v>56</v>
      </c>
      <c r="O859" s="8" t="s">
        <v>57</v>
      </c>
      <c r="P859" s="6" t="s">
        <v>42</v>
      </c>
      <c r="Q859" s="8" t="s">
        <v>150</v>
      </c>
      <c r="R859" s="10" t="s">
        <v>5414</v>
      </c>
      <c r="S859" s="11" t="s">
        <v>5415</v>
      </c>
      <c r="T859" s="6"/>
      <c r="U859" s="27" t="str">
        <f>HYPERLINK("https://media.infra-m.ru/0701/0701952/cover/701952.jpg", "Обложка")</f>
        <v>Обложка</v>
      </c>
      <c r="V859" s="27" t="str">
        <f>HYPERLINK("https://znanium.com/catalog/product/1906719", "Ознакомиться")</f>
        <v>Ознакомиться</v>
      </c>
      <c r="W859" s="8" t="s">
        <v>1364</v>
      </c>
      <c r="X859" s="6"/>
      <c r="Y859" s="6"/>
      <c r="Z859" s="6"/>
      <c r="AA859" s="6" t="s">
        <v>201</v>
      </c>
    </row>
    <row r="860" spans="1:27" s="4" customFormat="1" ht="51.95" customHeight="1">
      <c r="A860" s="5">
        <v>0</v>
      </c>
      <c r="B860" s="6" t="s">
        <v>5416</v>
      </c>
      <c r="C860" s="13">
        <v>1000</v>
      </c>
      <c r="D860" s="8" t="s">
        <v>5417</v>
      </c>
      <c r="E860" s="8" t="s">
        <v>5418</v>
      </c>
      <c r="F860" s="8" t="s">
        <v>5419</v>
      </c>
      <c r="G860" s="6" t="s">
        <v>67</v>
      </c>
      <c r="H860" s="6" t="s">
        <v>53</v>
      </c>
      <c r="I860" s="8" t="s">
        <v>54</v>
      </c>
      <c r="J860" s="9">
        <v>1</v>
      </c>
      <c r="K860" s="9">
        <v>215</v>
      </c>
      <c r="L860" s="9">
        <v>2024</v>
      </c>
      <c r="M860" s="8" t="s">
        <v>5420</v>
      </c>
      <c r="N860" s="8" t="s">
        <v>56</v>
      </c>
      <c r="O860" s="8" t="s">
        <v>57</v>
      </c>
      <c r="P860" s="6" t="s">
        <v>42</v>
      </c>
      <c r="Q860" s="8" t="s">
        <v>43</v>
      </c>
      <c r="R860" s="10" t="s">
        <v>5421</v>
      </c>
      <c r="S860" s="11" t="s">
        <v>60</v>
      </c>
      <c r="T860" s="6"/>
      <c r="U860" s="27" t="str">
        <f>HYPERLINK("https://media.infra-m.ru/1914/1914141/cover/1914141.jpg", "Обложка")</f>
        <v>Обложка</v>
      </c>
      <c r="V860" s="27" t="str">
        <f>HYPERLINK("https://znanium.com/catalog/product/1914141", "Ознакомиться")</f>
        <v>Ознакомиться</v>
      </c>
      <c r="W860" s="8" t="s">
        <v>4223</v>
      </c>
      <c r="X860" s="6"/>
      <c r="Y860" s="6"/>
      <c r="Z860" s="6"/>
      <c r="AA860" s="6" t="s">
        <v>62</v>
      </c>
    </row>
    <row r="861" spans="1:27" s="4" customFormat="1" ht="51.95" customHeight="1">
      <c r="A861" s="5">
        <v>0</v>
      </c>
      <c r="B861" s="6" t="s">
        <v>5422</v>
      </c>
      <c r="C861" s="13">
        <v>1040</v>
      </c>
      <c r="D861" s="8" t="s">
        <v>5423</v>
      </c>
      <c r="E861" s="8" t="s">
        <v>5424</v>
      </c>
      <c r="F861" s="8" t="s">
        <v>1361</v>
      </c>
      <c r="G861" s="6" t="s">
        <v>67</v>
      </c>
      <c r="H861" s="6" t="s">
        <v>53</v>
      </c>
      <c r="I861" s="8" t="s">
        <v>148</v>
      </c>
      <c r="J861" s="9">
        <v>1</v>
      </c>
      <c r="K861" s="9">
        <v>230</v>
      </c>
      <c r="L861" s="9">
        <v>2023</v>
      </c>
      <c r="M861" s="8" t="s">
        <v>5425</v>
      </c>
      <c r="N861" s="8" t="s">
        <v>56</v>
      </c>
      <c r="O861" s="8" t="s">
        <v>57</v>
      </c>
      <c r="P861" s="6" t="s">
        <v>42</v>
      </c>
      <c r="Q861" s="8" t="s">
        <v>150</v>
      </c>
      <c r="R861" s="10" t="s">
        <v>5414</v>
      </c>
      <c r="S861" s="11" t="s">
        <v>5415</v>
      </c>
      <c r="T861" s="6"/>
      <c r="U861" s="27" t="str">
        <f>HYPERLINK("https://media.infra-m.ru/1906/1906719/cover/1906719.jpg", "Обложка")</f>
        <v>Обложка</v>
      </c>
      <c r="V861" s="27" t="str">
        <f>HYPERLINK("https://znanium.com/catalog/product/1906719", "Ознакомиться")</f>
        <v>Ознакомиться</v>
      </c>
      <c r="W861" s="8" t="s">
        <v>1364</v>
      </c>
      <c r="X861" s="6"/>
      <c r="Y861" s="6"/>
      <c r="Z861" s="6"/>
      <c r="AA861" s="6" t="s">
        <v>365</v>
      </c>
    </row>
    <row r="862" spans="1:27" s="4" customFormat="1" ht="51.95" customHeight="1">
      <c r="A862" s="5">
        <v>0</v>
      </c>
      <c r="B862" s="6" t="s">
        <v>5426</v>
      </c>
      <c r="C862" s="7">
        <v>884</v>
      </c>
      <c r="D862" s="8" t="s">
        <v>5427</v>
      </c>
      <c r="E862" s="8" t="s">
        <v>5428</v>
      </c>
      <c r="F862" s="8" t="s">
        <v>605</v>
      </c>
      <c r="G862" s="6" t="s">
        <v>67</v>
      </c>
      <c r="H862" s="6" t="s">
        <v>53</v>
      </c>
      <c r="I862" s="8" t="s">
        <v>165</v>
      </c>
      <c r="J862" s="9">
        <v>1</v>
      </c>
      <c r="K862" s="9">
        <v>192</v>
      </c>
      <c r="L862" s="9">
        <v>2024</v>
      </c>
      <c r="M862" s="8" t="s">
        <v>5429</v>
      </c>
      <c r="N862" s="8" t="s">
        <v>56</v>
      </c>
      <c r="O862" s="8" t="s">
        <v>57</v>
      </c>
      <c r="P862" s="6" t="s">
        <v>42</v>
      </c>
      <c r="Q862" s="8" t="s">
        <v>43</v>
      </c>
      <c r="R862" s="10" t="s">
        <v>5430</v>
      </c>
      <c r="S862" s="11" t="s">
        <v>5431</v>
      </c>
      <c r="T862" s="6"/>
      <c r="U862" s="27" t="str">
        <f>HYPERLINK("https://media.infra-m.ru/2079/2079162/cover/2079162.jpg", "Обложка")</f>
        <v>Обложка</v>
      </c>
      <c r="V862" s="27" t="str">
        <f>HYPERLINK("https://znanium.com/catalog/product/1221181", "Ознакомиться")</f>
        <v>Ознакомиться</v>
      </c>
      <c r="W862" s="8" t="s">
        <v>216</v>
      </c>
      <c r="X862" s="6"/>
      <c r="Y862" s="6"/>
      <c r="Z862" s="6"/>
      <c r="AA862" s="6" t="s">
        <v>308</v>
      </c>
    </row>
    <row r="863" spans="1:27" s="4" customFormat="1" ht="42" customHeight="1">
      <c r="A863" s="5">
        <v>0</v>
      </c>
      <c r="B863" s="6" t="s">
        <v>5432</v>
      </c>
      <c r="C863" s="7">
        <v>940</v>
      </c>
      <c r="D863" s="8" t="s">
        <v>5433</v>
      </c>
      <c r="E863" s="8" t="s">
        <v>5434</v>
      </c>
      <c r="F863" s="8" t="s">
        <v>5435</v>
      </c>
      <c r="G863" s="6" t="s">
        <v>37</v>
      </c>
      <c r="H863" s="6" t="s">
        <v>53</v>
      </c>
      <c r="I863" s="8" t="s">
        <v>114</v>
      </c>
      <c r="J863" s="9">
        <v>1</v>
      </c>
      <c r="K863" s="9">
        <v>187</v>
      </c>
      <c r="L863" s="9">
        <v>2023</v>
      </c>
      <c r="M863" s="8" t="s">
        <v>5436</v>
      </c>
      <c r="N863" s="8" t="s">
        <v>56</v>
      </c>
      <c r="O863" s="8" t="s">
        <v>57</v>
      </c>
      <c r="P863" s="6" t="s">
        <v>116</v>
      </c>
      <c r="Q863" s="8" t="s">
        <v>81</v>
      </c>
      <c r="R863" s="10" t="s">
        <v>159</v>
      </c>
      <c r="S863" s="11"/>
      <c r="T863" s="6"/>
      <c r="U863" s="27" t="str">
        <f>HYPERLINK("https://media.infra-m.ru/1912/1912427/cover/1912427.jpg", "Обложка")</f>
        <v>Обложка</v>
      </c>
      <c r="V863" s="27" t="str">
        <f>HYPERLINK("https://znanium.com/catalog/product/1912427", "Ознакомиться")</f>
        <v>Ознакомиться</v>
      </c>
      <c r="W863" s="8" t="s">
        <v>153</v>
      </c>
      <c r="X863" s="6" t="s">
        <v>3776</v>
      </c>
      <c r="Y863" s="6"/>
      <c r="Z863" s="6"/>
      <c r="AA863" s="6" t="s">
        <v>93</v>
      </c>
    </row>
    <row r="864" spans="1:27" s="4" customFormat="1" ht="42" customHeight="1">
      <c r="A864" s="5">
        <v>0</v>
      </c>
      <c r="B864" s="6" t="s">
        <v>5437</v>
      </c>
      <c r="C864" s="7">
        <v>494.9</v>
      </c>
      <c r="D864" s="8" t="s">
        <v>5438</v>
      </c>
      <c r="E864" s="8" t="s">
        <v>5439</v>
      </c>
      <c r="F864" s="8" t="s">
        <v>5440</v>
      </c>
      <c r="G864" s="6" t="s">
        <v>52</v>
      </c>
      <c r="H864" s="6" t="s">
        <v>53</v>
      </c>
      <c r="I864" s="8" t="s">
        <v>114</v>
      </c>
      <c r="J864" s="9">
        <v>1</v>
      </c>
      <c r="K864" s="9">
        <v>143</v>
      </c>
      <c r="L864" s="9">
        <v>2019</v>
      </c>
      <c r="M864" s="8" t="s">
        <v>5441</v>
      </c>
      <c r="N864" s="8" t="s">
        <v>56</v>
      </c>
      <c r="O864" s="8" t="s">
        <v>57</v>
      </c>
      <c r="P864" s="6" t="s">
        <v>116</v>
      </c>
      <c r="Q864" s="8" t="s">
        <v>81</v>
      </c>
      <c r="R864" s="10" t="s">
        <v>5209</v>
      </c>
      <c r="S864" s="11"/>
      <c r="T864" s="6"/>
      <c r="U864" s="27" t="str">
        <f>HYPERLINK("https://media.infra-m.ru/0960/0960032/cover/960032.jpg", "Обложка")</f>
        <v>Обложка</v>
      </c>
      <c r="V864" s="27" t="str">
        <f>HYPERLINK("https://znanium.com/catalog/product/960032", "Ознакомиться")</f>
        <v>Ознакомиться</v>
      </c>
      <c r="W864" s="8" t="s">
        <v>3127</v>
      </c>
      <c r="X864" s="6"/>
      <c r="Y864" s="6"/>
      <c r="Z864" s="6"/>
      <c r="AA864" s="6" t="s">
        <v>62</v>
      </c>
    </row>
    <row r="865" spans="1:27" s="4" customFormat="1" ht="51.95" customHeight="1">
      <c r="A865" s="5">
        <v>0</v>
      </c>
      <c r="B865" s="6" t="s">
        <v>5442</v>
      </c>
      <c r="C865" s="7">
        <v>424.9</v>
      </c>
      <c r="D865" s="8" t="s">
        <v>5443</v>
      </c>
      <c r="E865" s="8" t="s">
        <v>5444</v>
      </c>
      <c r="F865" s="8" t="s">
        <v>5445</v>
      </c>
      <c r="G865" s="6" t="s">
        <v>37</v>
      </c>
      <c r="H865" s="6" t="s">
        <v>53</v>
      </c>
      <c r="I865" s="8" t="s">
        <v>114</v>
      </c>
      <c r="J865" s="9">
        <v>1</v>
      </c>
      <c r="K865" s="9">
        <v>138</v>
      </c>
      <c r="L865" s="9">
        <v>2017</v>
      </c>
      <c r="M865" s="8" t="s">
        <v>5446</v>
      </c>
      <c r="N865" s="8" t="s">
        <v>56</v>
      </c>
      <c r="O865" s="8" t="s">
        <v>57</v>
      </c>
      <c r="P865" s="6" t="s">
        <v>116</v>
      </c>
      <c r="Q865" s="8" t="s">
        <v>81</v>
      </c>
      <c r="R865" s="10" t="s">
        <v>876</v>
      </c>
      <c r="S865" s="11"/>
      <c r="T865" s="6"/>
      <c r="U865" s="27" t="str">
        <f>HYPERLINK("https://media.infra-m.ru/0767/0767836/cover/767836.jpg", "Обложка")</f>
        <v>Обложка</v>
      </c>
      <c r="V865" s="27" t="str">
        <f>HYPERLINK("https://znanium.com/catalog/product/305178", "Ознакомиться")</f>
        <v>Ознакомиться</v>
      </c>
      <c r="W865" s="8" t="s">
        <v>5447</v>
      </c>
      <c r="X865" s="6"/>
      <c r="Y865" s="6"/>
      <c r="Z865" s="6"/>
      <c r="AA865" s="6" t="s">
        <v>62</v>
      </c>
    </row>
    <row r="866" spans="1:27" s="4" customFormat="1" ht="44.1" customHeight="1">
      <c r="A866" s="5">
        <v>0</v>
      </c>
      <c r="B866" s="6" t="s">
        <v>5448</v>
      </c>
      <c r="C866" s="7">
        <v>734</v>
      </c>
      <c r="D866" s="8" t="s">
        <v>5449</v>
      </c>
      <c r="E866" s="8" t="s">
        <v>5450</v>
      </c>
      <c r="F866" s="8" t="s">
        <v>5451</v>
      </c>
      <c r="G866" s="6" t="s">
        <v>52</v>
      </c>
      <c r="H866" s="6" t="s">
        <v>38</v>
      </c>
      <c r="I866" s="8"/>
      <c r="J866" s="9">
        <v>5</v>
      </c>
      <c r="K866" s="9">
        <v>160</v>
      </c>
      <c r="L866" s="9">
        <v>2024</v>
      </c>
      <c r="M866" s="8" t="s">
        <v>5452</v>
      </c>
      <c r="N866" s="8" t="s">
        <v>56</v>
      </c>
      <c r="O866" s="8" t="s">
        <v>57</v>
      </c>
      <c r="P866" s="6" t="s">
        <v>42</v>
      </c>
      <c r="Q866" s="8" t="s">
        <v>43</v>
      </c>
      <c r="R866" s="10" t="s">
        <v>5453</v>
      </c>
      <c r="S866" s="11"/>
      <c r="T866" s="6"/>
      <c r="U866" s="27" t="str">
        <f>HYPERLINK("https://media.infra-m.ru/2102/2102178/cover/2102178.jpg", "Обложка")</f>
        <v>Обложка</v>
      </c>
      <c r="V866" s="27" t="str">
        <f>HYPERLINK("https://znanium.com/catalog/product/1012422", "Ознакомиться")</f>
        <v>Ознакомиться</v>
      </c>
      <c r="W866" s="8" t="s">
        <v>5454</v>
      </c>
      <c r="X866" s="6"/>
      <c r="Y866" s="6"/>
      <c r="Z866" s="6"/>
      <c r="AA866" s="6" t="s">
        <v>208</v>
      </c>
    </row>
    <row r="867" spans="1:27" s="4" customFormat="1" ht="51.95" customHeight="1">
      <c r="A867" s="5">
        <v>0</v>
      </c>
      <c r="B867" s="6" t="s">
        <v>5455</v>
      </c>
      <c r="C867" s="7">
        <v>634.9</v>
      </c>
      <c r="D867" s="8" t="s">
        <v>5456</v>
      </c>
      <c r="E867" s="8" t="s">
        <v>5457</v>
      </c>
      <c r="F867" s="8" t="s">
        <v>5458</v>
      </c>
      <c r="G867" s="6" t="s">
        <v>52</v>
      </c>
      <c r="H867" s="6" t="s">
        <v>53</v>
      </c>
      <c r="I867" s="8" t="s">
        <v>165</v>
      </c>
      <c r="J867" s="9">
        <v>1</v>
      </c>
      <c r="K867" s="9">
        <v>141</v>
      </c>
      <c r="L867" s="9">
        <v>2023</v>
      </c>
      <c r="M867" s="8" t="s">
        <v>5459</v>
      </c>
      <c r="N867" s="8" t="s">
        <v>56</v>
      </c>
      <c r="O867" s="8" t="s">
        <v>57</v>
      </c>
      <c r="P867" s="6" t="s">
        <v>42</v>
      </c>
      <c r="Q867" s="8" t="s">
        <v>43</v>
      </c>
      <c r="R867" s="10" t="s">
        <v>5460</v>
      </c>
      <c r="S867" s="11"/>
      <c r="T867" s="6"/>
      <c r="U867" s="27" t="str">
        <f>HYPERLINK("https://media.infra-m.ru/1981/1981699/cover/1981699.jpg", "Обложка")</f>
        <v>Обложка</v>
      </c>
      <c r="V867" s="27" t="str">
        <f>HYPERLINK("https://znanium.com/catalog/product/1062671", "Ознакомиться")</f>
        <v>Ознакомиться</v>
      </c>
      <c r="W867" s="8" t="s">
        <v>1722</v>
      </c>
      <c r="X867" s="6"/>
      <c r="Y867" s="6"/>
      <c r="Z867" s="6"/>
      <c r="AA867" s="6" t="s">
        <v>208</v>
      </c>
    </row>
    <row r="868" spans="1:27" s="4" customFormat="1" ht="51.95" customHeight="1">
      <c r="A868" s="5">
        <v>0</v>
      </c>
      <c r="B868" s="6" t="s">
        <v>5461</v>
      </c>
      <c r="C868" s="13">
        <v>1200</v>
      </c>
      <c r="D868" s="8" t="s">
        <v>5462</v>
      </c>
      <c r="E868" s="8" t="s">
        <v>5463</v>
      </c>
      <c r="F868" s="8" t="s">
        <v>5395</v>
      </c>
      <c r="G868" s="6" t="s">
        <v>37</v>
      </c>
      <c r="H868" s="6" t="s">
        <v>53</v>
      </c>
      <c r="I868" s="8" t="s">
        <v>400</v>
      </c>
      <c r="J868" s="9">
        <v>1</v>
      </c>
      <c r="K868" s="9">
        <v>258</v>
      </c>
      <c r="L868" s="9">
        <v>2024</v>
      </c>
      <c r="M868" s="8" t="s">
        <v>5464</v>
      </c>
      <c r="N868" s="8" t="s">
        <v>56</v>
      </c>
      <c r="O868" s="8" t="s">
        <v>57</v>
      </c>
      <c r="P868" s="6" t="s">
        <v>69</v>
      </c>
      <c r="Q868" s="8" t="s">
        <v>150</v>
      </c>
      <c r="R868" s="10" t="s">
        <v>5465</v>
      </c>
      <c r="S868" s="11" t="s">
        <v>5466</v>
      </c>
      <c r="T868" s="6"/>
      <c r="U868" s="27" t="str">
        <f>HYPERLINK("https://media.infra-m.ru/1989/1989243/cover/1989243.jpg", "Обложка")</f>
        <v>Обложка</v>
      </c>
      <c r="V868" s="27" t="str">
        <f>HYPERLINK("https://znanium.com/catalog/product/1989243", "Ознакомиться")</f>
        <v>Ознакомиться</v>
      </c>
      <c r="W868" s="8" t="s">
        <v>72</v>
      </c>
      <c r="X868" s="6" t="s">
        <v>3230</v>
      </c>
      <c r="Y868" s="6"/>
      <c r="Z868" s="6"/>
      <c r="AA868" s="6" t="s">
        <v>308</v>
      </c>
    </row>
    <row r="869" spans="1:27" s="4" customFormat="1" ht="51.95" customHeight="1">
      <c r="A869" s="5">
        <v>0</v>
      </c>
      <c r="B869" s="6" t="s">
        <v>5467</v>
      </c>
      <c r="C869" s="13">
        <v>1214.9000000000001</v>
      </c>
      <c r="D869" s="8" t="s">
        <v>5468</v>
      </c>
      <c r="E869" s="8" t="s">
        <v>5469</v>
      </c>
      <c r="F869" s="8" t="s">
        <v>5470</v>
      </c>
      <c r="G869" s="6" t="s">
        <v>37</v>
      </c>
      <c r="H869" s="6" t="s">
        <v>53</v>
      </c>
      <c r="I869" s="8" t="s">
        <v>165</v>
      </c>
      <c r="J869" s="9">
        <v>1</v>
      </c>
      <c r="K869" s="9">
        <v>269</v>
      </c>
      <c r="L869" s="9">
        <v>2023</v>
      </c>
      <c r="M869" s="8" t="s">
        <v>5471</v>
      </c>
      <c r="N869" s="8" t="s">
        <v>56</v>
      </c>
      <c r="O869" s="8" t="s">
        <v>57</v>
      </c>
      <c r="P869" s="6" t="s">
        <v>42</v>
      </c>
      <c r="Q869" s="8" t="s">
        <v>43</v>
      </c>
      <c r="R869" s="10" t="s">
        <v>5472</v>
      </c>
      <c r="S869" s="11" t="s">
        <v>5473</v>
      </c>
      <c r="T869" s="6"/>
      <c r="U869" s="27" t="str">
        <f>HYPERLINK("https://media.infra-m.ru/1911/1911184/cover/1911184.jpg", "Обложка")</f>
        <v>Обложка</v>
      </c>
      <c r="V869" s="27" t="str">
        <f>HYPERLINK("https://znanium.com/catalog/product/1254303", "Ознакомиться")</f>
        <v>Ознакомиться</v>
      </c>
      <c r="W869" s="8" t="s">
        <v>2996</v>
      </c>
      <c r="X869" s="6"/>
      <c r="Y869" s="6"/>
      <c r="Z869" s="6"/>
      <c r="AA869" s="6" t="s">
        <v>47</v>
      </c>
    </row>
    <row r="870" spans="1:27" s="4" customFormat="1" ht="42" customHeight="1">
      <c r="A870" s="5">
        <v>0</v>
      </c>
      <c r="B870" s="6" t="s">
        <v>5474</v>
      </c>
      <c r="C870" s="13">
        <v>1084.9000000000001</v>
      </c>
      <c r="D870" s="8" t="s">
        <v>5475</v>
      </c>
      <c r="E870" s="8" t="s">
        <v>5476</v>
      </c>
      <c r="F870" s="8" t="s">
        <v>5477</v>
      </c>
      <c r="G870" s="6" t="s">
        <v>37</v>
      </c>
      <c r="H870" s="6" t="s">
        <v>104</v>
      </c>
      <c r="I870" s="8" t="s">
        <v>377</v>
      </c>
      <c r="J870" s="9">
        <v>1</v>
      </c>
      <c r="K870" s="9">
        <v>240</v>
      </c>
      <c r="L870" s="9">
        <v>2023</v>
      </c>
      <c r="M870" s="8" t="s">
        <v>5478</v>
      </c>
      <c r="N870" s="8" t="s">
        <v>56</v>
      </c>
      <c r="O870" s="8" t="s">
        <v>57</v>
      </c>
      <c r="P870" s="6" t="s">
        <v>42</v>
      </c>
      <c r="Q870" s="8" t="s">
        <v>43</v>
      </c>
      <c r="R870" s="10" t="s">
        <v>5479</v>
      </c>
      <c r="S870" s="11"/>
      <c r="T870" s="6"/>
      <c r="U870" s="27" t="str">
        <f>HYPERLINK("https://media.infra-m.ru/1911/1911182/cover/1911182.jpg", "Обложка")</f>
        <v>Обложка</v>
      </c>
      <c r="V870" s="27" t="str">
        <f>HYPERLINK("https://znanium.com/catalog/product/1003847", "Ознакомиться")</f>
        <v>Ознакомиться</v>
      </c>
      <c r="W870" s="8" t="s">
        <v>841</v>
      </c>
      <c r="X870" s="6"/>
      <c r="Y870" s="6"/>
      <c r="Z870" s="6"/>
      <c r="AA870" s="6" t="s">
        <v>47</v>
      </c>
    </row>
    <row r="871" spans="1:27" s="4" customFormat="1" ht="42" customHeight="1">
      <c r="A871" s="5">
        <v>0</v>
      </c>
      <c r="B871" s="6" t="s">
        <v>5480</v>
      </c>
      <c r="C871" s="7">
        <v>600</v>
      </c>
      <c r="D871" s="8" t="s">
        <v>5481</v>
      </c>
      <c r="E871" s="8" t="s">
        <v>5482</v>
      </c>
      <c r="F871" s="8" t="s">
        <v>5483</v>
      </c>
      <c r="G871" s="6" t="s">
        <v>52</v>
      </c>
      <c r="H871" s="6" t="s">
        <v>53</v>
      </c>
      <c r="I871" s="8" t="s">
        <v>114</v>
      </c>
      <c r="J871" s="9">
        <v>1</v>
      </c>
      <c r="K871" s="9">
        <v>151</v>
      </c>
      <c r="L871" s="9">
        <v>2020</v>
      </c>
      <c r="M871" s="8" t="s">
        <v>5484</v>
      </c>
      <c r="N871" s="8" t="s">
        <v>56</v>
      </c>
      <c r="O871" s="8" t="s">
        <v>57</v>
      </c>
      <c r="P871" s="6" t="s">
        <v>116</v>
      </c>
      <c r="Q871" s="8" t="s">
        <v>81</v>
      </c>
      <c r="R871" s="10" t="s">
        <v>5485</v>
      </c>
      <c r="S871" s="11"/>
      <c r="T871" s="6"/>
      <c r="U871" s="27" t="str">
        <f>HYPERLINK("https://media.infra-m.ru/1094/1094558/cover/1094558.jpg", "Обложка")</f>
        <v>Обложка</v>
      </c>
      <c r="V871" s="27" t="str">
        <f>HYPERLINK("https://znanium.com/catalog/product/1094558", "Ознакомиться")</f>
        <v>Ознакомиться</v>
      </c>
      <c r="W871" s="8" t="s">
        <v>46</v>
      </c>
      <c r="X871" s="6"/>
      <c r="Y871" s="6"/>
      <c r="Z871" s="6"/>
      <c r="AA871" s="6" t="s">
        <v>253</v>
      </c>
    </row>
    <row r="872" spans="1:27" s="4" customFormat="1" ht="51.95" customHeight="1">
      <c r="A872" s="5">
        <v>0</v>
      </c>
      <c r="B872" s="6" t="s">
        <v>5486</v>
      </c>
      <c r="C872" s="7">
        <v>870</v>
      </c>
      <c r="D872" s="8" t="s">
        <v>5487</v>
      </c>
      <c r="E872" s="8" t="s">
        <v>5488</v>
      </c>
      <c r="F872" s="8" t="s">
        <v>5489</v>
      </c>
      <c r="G872" s="6" t="s">
        <v>52</v>
      </c>
      <c r="H872" s="6" t="s">
        <v>939</v>
      </c>
      <c r="I872" s="8" t="s">
        <v>165</v>
      </c>
      <c r="J872" s="9">
        <v>1</v>
      </c>
      <c r="K872" s="9">
        <v>192</v>
      </c>
      <c r="L872" s="9">
        <v>2022</v>
      </c>
      <c r="M872" s="8" t="s">
        <v>5490</v>
      </c>
      <c r="N872" s="8" t="s">
        <v>56</v>
      </c>
      <c r="O872" s="8" t="s">
        <v>57</v>
      </c>
      <c r="P872" s="6" t="s">
        <v>42</v>
      </c>
      <c r="Q872" s="8" t="s">
        <v>43</v>
      </c>
      <c r="R872" s="10" t="s">
        <v>5472</v>
      </c>
      <c r="S872" s="11" t="s">
        <v>5491</v>
      </c>
      <c r="T872" s="6"/>
      <c r="U872" s="27" t="str">
        <f>HYPERLINK("https://media.infra-m.ru/1947/1947347/cover/1947347.jpg", "Обложка")</f>
        <v>Обложка</v>
      </c>
      <c r="V872" s="27" t="str">
        <f>HYPERLINK("https://znanium.com/catalog/product/1947347", "Ознакомиться")</f>
        <v>Ознакомиться</v>
      </c>
      <c r="W872" s="8" t="s">
        <v>46</v>
      </c>
      <c r="X872" s="6"/>
      <c r="Y872" s="6"/>
      <c r="Z872" s="6"/>
      <c r="AA872" s="6" t="s">
        <v>47</v>
      </c>
    </row>
    <row r="873" spans="1:27" s="4" customFormat="1" ht="51.95" customHeight="1">
      <c r="A873" s="5">
        <v>0</v>
      </c>
      <c r="B873" s="6" t="s">
        <v>5492</v>
      </c>
      <c r="C873" s="13">
        <v>1570</v>
      </c>
      <c r="D873" s="8" t="s">
        <v>5493</v>
      </c>
      <c r="E873" s="8" t="s">
        <v>5494</v>
      </c>
      <c r="F873" s="8" t="s">
        <v>5495</v>
      </c>
      <c r="G873" s="6" t="s">
        <v>67</v>
      </c>
      <c r="H873" s="6" t="s">
        <v>53</v>
      </c>
      <c r="I873" s="8" t="s">
        <v>174</v>
      </c>
      <c r="J873" s="9">
        <v>1</v>
      </c>
      <c r="K873" s="9">
        <v>348</v>
      </c>
      <c r="L873" s="9">
        <v>2023</v>
      </c>
      <c r="M873" s="8" t="s">
        <v>5496</v>
      </c>
      <c r="N873" s="8" t="s">
        <v>56</v>
      </c>
      <c r="O873" s="8" t="s">
        <v>57</v>
      </c>
      <c r="P873" s="6" t="s">
        <v>69</v>
      </c>
      <c r="Q873" s="8" t="s">
        <v>150</v>
      </c>
      <c r="R873" s="10" t="s">
        <v>5497</v>
      </c>
      <c r="S873" s="11" t="s">
        <v>5498</v>
      </c>
      <c r="T873" s="6"/>
      <c r="U873" s="27" t="str">
        <f>HYPERLINK("https://media.infra-m.ru/2049/2049700/cover/2049700.jpg", "Обложка")</f>
        <v>Обложка</v>
      </c>
      <c r="V873" s="27" t="str">
        <f>HYPERLINK("https://znanium.com/catalog/product/2049700", "Ознакомиться")</f>
        <v>Ознакомиться</v>
      </c>
      <c r="W873" s="8" t="s">
        <v>46</v>
      </c>
      <c r="X873" s="6"/>
      <c r="Y873" s="6"/>
      <c r="Z873" s="6"/>
      <c r="AA873" s="6" t="s">
        <v>425</v>
      </c>
    </row>
    <row r="874" spans="1:27" s="4" customFormat="1" ht="51.95" customHeight="1">
      <c r="A874" s="5">
        <v>0</v>
      </c>
      <c r="B874" s="6" t="s">
        <v>5499</v>
      </c>
      <c r="C874" s="13">
        <v>1120</v>
      </c>
      <c r="D874" s="8" t="s">
        <v>5500</v>
      </c>
      <c r="E874" s="8" t="s">
        <v>5501</v>
      </c>
      <c r="F874" s="8" t="s">
        <v>5483</v>
      </c>
      <c r="G874" s="6" t="s">
        <v>67</v>
      </c>
      <c r="H874" s="6" t="s">
        <v>53</v>
      </c>
      <c r="I874" s="8" t="s">
        <v>165</v>
      </c>
      <c r="J874" s="9">
        <v>1</v>
      </c>
      <c r="K874" s="9">
        <v>347</v>
      </c>
      <c r="L874" s="9">
        <v>2019</v>
      </c>
      <c r="M874" s="8" t="s">
        <v>5502</v>
      </c>
      <c r="N874" s="8" t="s">
        <v>56</v>
      </c>
      <c r="O874" s="8" t="s">
        <v>57</v>
      </c>
      <c r="P874" s="6" t="s">
        <v>69</v>
      </c>
      <c r="Q874" s="8" t="s">
        <v>43</v>
      </c>
      <c r="R874" s="10" t="s">
        <v>5497</v>
      </c>
      <c r="S874" s="11" t="s">
        <v>5503</v>
      </c>
      <c r="T874" s="6"/>
      <c r="U874" s="27" t="str">
        <f>HYPERLINK("https://media.infra-m.ru/1010/1010117/cover/1010117.jpg", "Обложка")</f>
        <v>Обложка</v>
      </c>
      <c r="V874" s="27" t="str">
        <f>HYPERLINK("https://znanium.com/catalog/product/2049700", "Ознакомиться")</f>
        <v>Ознакомиться</v>
      </c>
      <c r="W874" s="8" t="s">
        <v>46</v>
      </c>
      <c r="X874" s="6"/>
      <c r="Y874" s="6"/>
      <c r="Z874" s="6"/>
      <c r="AA874" s="6" t="s">
        <v>288</v>
      </c>
    </row>
    <row r="875" spans="1:27" s="4" customFormat="1" ht="51.95" customHeight="1">
      <c r="A875" s="5">
        <v>0</v>
      </c>
      <c r="B875" s="6" t="s">
        <v>5504</v>
      </c>
      <c r="C875" s="7">
        <v>980</v>
      </c>
      <c r="D875" s="8" t="s">
        <v>5505</v>
      </c>
      <c r="E875" s="8" t="s">
        <v>5506</v>
      </c>
      <c r="F875" s="8" t="s">
        <v>5507</v>
      </c>
      <c r="G875" s="6" t="s">
        <v>52</v>
      </c>
      <c r="H875" s="6" t="s">
        <v>98</v>
      </c>
      <c r="I875" s="8" t="s">
        <v>148</v>
      </c>
      <c r="J875" s="9">
        <v>1</v>
      </c>
      <c r="K875" s="9">
        <v>217</v>
      </c>
      <c r="L875" s="9">
        <v>2023</v>
      </c>
      <c r="M875" s="8" t="s">
        <v>5508</v>
      </c>
      <c r="N875" s="8" t="s">
        <v>56</v>
      </c>
      <c r="O875" s="8" t="s">
        <v>57</v>
      </c>
      <c r="P875" s="6" t="s">
        <v>69</v>
      </c>
      <c r="Q875" s="8" t="s">
        <v>150</v>
      </c>
      <c r="R875" s="10" t="s">
        <v>3255</v>
      </c>
      <c r="S875" s="11"/>
      <c r="T875" s="6" t="s">
        <v>277</v>
      </c>
      <c r="U875" s="27" t="str">
        <f>HYPERLINK("https://media.infra-m.ru/1911/1911188/cover/1911188.jpg", "Обложка")</f>
        <v>Обложка</v>
      </c>
      <c r="V875" s="27" t="str">
        <f>HYPERLINK("https://znanium.com/catalog/product/1911188", "Ознакомиться")</f>
        <v>Ознакомиться</v>
      </c>
      <c r="W875" s="8" t="s">
        <v>1722</v>
      </c>
      <c r="X875" s="6"/>
      <c r="Y875" s="6"/>
      <c r="Z875" s="6"/>
      <c r="AA875" s="6" t="s">
        <v>288</v>
      </c>
    </row>
    <row r="876" spans="1:27" s="4" customFormat="1" ht="51.95" customHeight="1">
      <c r="A876" s="5">
        <v>0</v>
      </c>
      <c r="B876" s="6" t="s">
        <v>5509</v>
      </c>
      <c r="C876" s="13">
        <v>1324.9</v>
      </c>
      <c r="D876" s="8" t="s">
        <v>5510</v>
      </c>
      <c r="E876" s="8" t="s">
        <v>5506</v>
      </c>
      <c r="F876" s="8" t="s">
        <v>1673</v>
      </c>
      <c r="G876" s="6" t="s">
        <v>37</v>
      </c>
      <c r="H876" s="6" t="s">
        <v>53</v>
      </c>
      <c r="I876" s="8" t="s">
        <v>165</v>
      </c>
      <c r="J876" s="9">
        <v>1</v>
      </c>
      <c r="K876" s="9">
        <v>413</v>
      </c>
      <c r="L876" s="9">
        <v>2019</v>
      </c>
      <c r="M876" s="8" t="s">
        <v>5511</v>
      </c>
      <c r="N876" s="8" t="s">
        <v>56</v>
      </c>
      <c r="O876" s="8" t="s">
        <v>57</v>
      </c>
      <c r="P876" s="6" t="s">
        <v>69</v>
      </c>
      <c r="Q876" s="8" t="s">
        <v>150</v>
      </c>
      <c r="R876" s="10" t="s">
        <v>241</v>
      </c>
      <c r="S876" s="11" t="s">
        <v>5512</v>
      </c>
      <c r="T876" s="6"/>
      <c r="U876" s="27" t="str">
        <f>HYPERLINK("https://media.infra-m.ru/1010/1010087/cover/1010087.jpg", "Обложка")</f>
        <v>Обложка</v>
      </c>
      <c r="V876" s="27" t="str">
        <f>HYPERLINK("https://znanium.com/catalog/product/1010087", "Ознакомиться")</f>
        <v>Ознакомиться</v>
      </c>
      <c r="W876" s="8" t="s">
        <v>46</v>
      </c>
      <c r="X876" s="6"/>
      <c r="Y876" s="6"/>
      <c r="Z876" s="6"/>
      <c r="AA876" s="6" t="s">
        <v>208</v>
      </c>
    </row>
    <row r="877" spans="1:27" s="4" customFormat="1" ht="51.95" customHeight="1">
      <c r="A877" s="5">
        <v>0</v>
      </c>
      <c r="B877" s="6" t="s">
        <v>5513</v>
      </c>
      <c r="C877" s="13">
        <v>1254.9000000000001</v>
      </c>
      <c r="D877" s="8" t="s">
        <v>5514</v>
      </c>
      <c r="E877" s="8" t="s">
        <v>5506</v>
      </c>
      <c r="F877" s="8" t="s">
        <v>5515</v>
      </c>
      <c r="G877" s="6" t="s">
        <v>37</v>
      </c>
      <c r="H877" s="6" t="s">
        <v>53</v>
      </c>
      <c r="I877" s="8" t="s">
        <v>165</v>
      </c>
      <c r="J877" s="9">
        <v>1</v>
      </c>
      <c r="K877" s="9">
        <v>331</v>
      </c>
      <c r="L877" s="9">
        <v>2022</v>
      </c>
      <c r="M877" s="8" t="s">
        <v>5516</v>
      </c>
      <c r="N877" s="8" t="s">
        <v>56</v>
      </c>
      <c r="O877" s="8" t="s">
        <v>57</v>
      </c>
      <c r="P877" s="6" t="s">
        <v>69</v>
      </c>
      <c r="Q877" s="8" t="s">
        <v>43</v>
      </c>
      <c r="R877" s="10" t="s">
        <v>207</v>
      </c>
      <c r="S877" s="11" t="s">
        <v>5517</v>
      </c>
      <c r="T877" s="6"/>
      <c r="U877" s="27" t="str">
        <f>HYPERLINK("https://media.infra-m.ru/1844/1844276/cover/1844276.jpg", "Обложка")</f>
        <v>Обложка</v>
      </c>
      <c r="V877" s="27" t="str">
        <f>HYPERLINK("https://znanium.com/catalog/product/920546", "Ознакомиться")</f>
        <v>Ознакомиться</v>
      </c>
      <c r="W877" s="8" t="s">
        <v>948</v>
      </c>
      <c r="X877" s="6"/>
      <c r="Y877" s="6"/>
      <c r="Z877" s="6"/>
      <c r="AA877" s="6" t="s">
        <v>208</v>
      </c>
    </row>
    <row r="878" spans="1:27" s="4" customFormat="1" ht="51.95" customHeight="1">
      <c r="A878" s="5">
        <v>0</v>
      </c>
      <c r="B878" s="6" t="s">
        <v>5518</v>
      </c>
      <c r="C878" s="7">
        <v>890</v>
      </c>
      <c r="D878" s="8" t="s">
        <v>5519</v>
      </c>
      <c r="E878" s="8" t="s">
        <v>5520</v>
      </c>
      <c r="F878" s="8" t="s">
        <v>5521</v>
      </c>
      <c r="G878" s="6" t="s">
        <v>37</v>
      </c>
      <c r="H878" s="6" t="s">
        <v>53</v>
      </c>
      <c r="I878" s="8" t="s">
        <v>165</v>
      </c>
      <c r="J878" s="9">
        <v>1</v>
      </c>
      <c r="K878" s="9">
        <v>185</v>
      </c>
      <c r="L878" s="9">
        <v>2023</v>
      </c>
      <c r="M878" s="8" t="s">
        <v>5522</v>
      </c>
      <c r="N878" s="8" t="s">
        <v>56</v>
      </c>
      <c r="O878" s="8" t="s">
        <v>57</v>
      </c>
      <c r="P878" s="6" t="s">
        <v>69</v>
      </c>
      <c r="Q878" s="8" t="s">
        <v>43</v>
      </c>
      <c r="R878" s="10" t="s">
        <v>207</v>
      </c>
      <c r="S878" s="11" t="s">
        <v>5523</v>
      </c>
      <c r="T878" s="6"/>
      <c r="U878" s="27" t="str">
        <f>HYPERLINK("https://media.infra-m.ru/1865/1865670/cover/1865670.jpg", "Обложка")</f>
        <v>Обложка</v>
      </c>
      <c r="V878" s="27" t="str">
        <f>HYPERLINK("https://znanium.com/catalog/product/1865670", "Ознакомиться")</f>
        <v>Ознакомиться</v>
      </c>
      <c r="W878" s="8" t="s">
        <v>5524</v>
      </c>
      <c r="X878" s="6"/>
      <c r="Y878" s="6"/>
      <c r="Z878" s="6"/>
      <c r="AA878" s="6" t="s">
        <v>425</v>
      </c>
    </row>
    <row r="879" spans="1:27" s="4" customFormat="1" ht="51.95" customHeight="1">
      <c r="A879" s="5">
        <v>0</v>
      </c>
      <c r="B879" s="6" t="s">
        <v>5525</v>
      </c>
      <c r="C879" s="13">
        <v>1084.9000000000001</v>
      </c>
      <c r="D879" s="8" t="s">
        <v>5526</v>
      </c>
      <c r="E879" s="8" t="s">
        <v>5506</v>
      </c>
      <c r="F879" s="8" t="s">
        <v>2221</v>
      </c>
      <c r="G879" s="6" t="s">
        <v>37</v>
      </c>
      <c r="H879" s="6" t="s">
        <v>53</v>
      </c>
      <c r="I879" s="8" t="s">
        <v>165</v>
      </c>
      <c r="J879" s="9">
        <v>1</v>
      </c>
      <c r="K879" s="9">
        <v>240</v>
      </c>
      <c r="L879" s="9">
        <v>2023</v>
      </c>
      <c r="M879" s="8" t="s">
        <v>5527</v>
      </c>
      <c r="N879" s="8" t="s">
        <v>56</v>
      </c>
      <c r="O879" s="8" t="s">
        <v>57</v>
      </c>
      <c r="P879" s="6" t="s">
        <v>69</v>
      </c>
      <c r="Q879" s="8" t="s">
        <v>43</v>
      </c>
      <c r="R879" s="10" t="s">
        <v>5528</v>
      </c>
      <c r="S879" s="11"/>
      <c r="T879" s="6"/>
      <c r="U879" s="27" t="str">
        <f>HYPERLINK("https://media.infra-m.ru/1983/1983235/cover/1983235.jpg", "Обложка")</f>
        <v>Обложка</v>
      </c>
      <c r="V879" s="27" t="str">
        <f>HYPERLINK("https://znanium.com/catalog/product/987785", "Ознакомиться")</f>
        <v>Ознакомиться</v>
      </c>
      <c r="W879" s="8" t="s">
        <v>2225</v>
      </c>
      <c r="X879" s="6"/>
      <c r="Y879" s="6"/>
      <c r="Z879" s="6"/>
      <c r="AA879" s="6" t="s">
        <v>5529</v>
      </c>
    </row>
    <row r="880" spans="1:27" s="4" customFormat="1" ht="51.95" customHeight="1">
      <c r="A880" s="5">
        <v>0</v>
      </c>
      <c r="B880" s="6" t="s">
        <v>5530</v>
      </c>
      <c r="C880" s="7">
        <v>680</v>
      </c>
      <c r="D880" s="8" t="s">
        <v>5531</v>
      </c>
      <c r="E880" s="8" t="s">
        <v>5506</v>
      </c>
      <c r="F880" s="8" t="s">
        <v>5532</v>
      </c>
      <c r="G880" s="6" t="s">
        <v>67</v>
      </c>
      <c r="H880" s="6" t="s">
        <v>53</v>
      </c>
      <c r="I880" s="8" t="s">
        <v>165</v>
      </c>
      <c r="J880" s="9">
        <v>1</v>
      </c>
      <c r="K880" s="9">
        <v>184</v>
      </c>
      <c r="L880" s="9">
        <v>2021</v>
      </c>
      <c r="M880" s="8" t="s">
        <v>5533</v>
      </c>
      <c r="N880" s="8" t="s">
        <v>56</v>
      </c>
      <c r="O880" s="8" t="s">
        <v>57</v>
      </c>
      <c r="P880" s="6" t="s">
        <v>69</v>
      </c>
      <c r="Q880" s="8" t="s">
        <v>43</v>
      </c>
      <c r="R880" s="10" t="s">
        <v>207</v>
      </c>
      <c r="S880" s="11" t="s">
        <v>5523</v>
      </c>
      <c r="T880" s="6"/>
      <c r="U880" s="27" t="str">
        <f>HYPERLINK("https://media.infra-m.ru/1584/1584941/cover/1584941.jpg", "Обложка")</f>
        <v>Обложка</v>
      </c>
      <c r="V880" s="27" t="str">
        <f>HYPERLINK("https://znanium.com/catalog/product/1865670", "Ознакомиться")</f>
        <v>Ознакомиться</v>
      </c>
      <c r="W880" s="8" t="s">
        <v>5524</v>
      </c>
      <c r="X880" s="6"/>
      <c r="Y880" s="6"/>
      <c r="Z880" s="6"/>
      <c r="AA880" s="6" t="s">
        <v>208</v>
      </c>
    </row>
    <row r="881" spans="1:27" s="4" customFormat="1" ht="51.95" customHeight="1">
      <c r="A881" s="5">
        <v>0</v>
      </c>
      <c r="B881" s="6" t="s">
        <v>5534</v>
      </c>
      <c r="C881" s="13">
        <v>1324.9</v>
      </c>
      <c r="D881" s="8" t="s">
        <v>5535</v>
      </c>
      <c r="E881" s="8" t="s">
        <v>5506</v>
      </c>
      <c r="F881" s="8" t="s">
        <v>5536</v>
      </c>
      <c r="G881" s="6" t="s">
        <v>37</v>
      </c>
      <c r="H881" s="6" t="s">
        <v>53</v>
      </c>
      <c r="I881" s="8" t="s">
        <v>165</v>
      </c>
      <c r="J881" s="9">
        <v>1</v>
      </c>
      <c r="K881" s="9">
        <v>294</v>
      </c>
      <c r="L881" s="9">
        <v>2023</v>
      </c>
      <c r="M881" s="8" t="s">
        <v>5537</v>
      </c>
      <c r="N881" s="8" t="s">
        <v>56</v>
      </c>
      <c r="O881" s="8" t="s">
        <v>57</v>
      </c>
      <c r="P881" s="6" t="s">
        <v>69</v>
      </c>
      <c r="Q881" s="8" t="s">
        <v>43</v>
      </c>
      <c r="R881" s="10" t="s">
        <v>5538</v>
      </c>
      <c r="S881" s="11" t="s">
        <v>5503</v>
      </c>
      <c r="T881" s="6"/>
      <c r="U881" s="27" t="str">
        <f>HYPERLINK("https://media.infra-m.ru/1900/1900865/cover/1900865.jpg", "Обложка")</f>
        <v>Обложка</v>
      </c>
      <c r="V881" s="27" t="str">
        <f>HYPERLINK("https://znanium.com/catalog/product/938021", "Ознакомиться")</f>
        <v>Ознакомиться</v>
      </c>
      <c r="W881" s="8" t="s">
        <v>3845</v>
      </c>
      <c r="X881" s="6"/>
      <c r="Y881" s="6"/>
      <c r="Z881" s="6"/>
      <c r="AA881" s="6" t="s">
        <v>253</v>
      </c>
    </row>
    <row r="882" spans="1:27" s="4" customFormat="1" ht="51.95" customHeight="1">
      <c r="A882" s="5">
        <v>0</v>
      </c>
      <c r="B882" s="6" t="s">
        <v>5539</v>
      </c>
      <c r="C882" s="13">
        <v>1184</v>
      </c>
      <c r="D882" s="8" t="s">
        <v>5540</v>
      </c>
      <c r="E882" s="8" t="s">
        <v>5520</v>
      </c>
      <c r="F882" s="8" t="s">
        <v>5541</v>
      </c>
      <c r="G882" s="6" t="s">
        <v>37</v>
      </c>
      <c r="H882" s="6" t="s">
        <v>265</v>
      </c>
      <c r="I882" s="8" t="s">
        <v>54</v>
      </c>
      <c r="J882" s="9">
        <v>1</v>
      </c>
      <c r="K882" s="9">
        <v>256</v>
      </c>
      <c r="L882" s="9">
        <v>2024</v>
      </c>
      <c r="M882" s="8" t="s">
        <v>5542</v>
      </c>
      <c r="N882" s="8" t="s">
        <v>56</v>
      </c>
      <c r="O882" s="8" t="s">
        <v>57</v>
      </c>
      <c r="P882" s="6" t="s">
        <v>42</v>
      </c>
      <c r="Q882" s="8" t="s">
        <v>43</v>
      </c>
      <c r="R882" s="10" t="s">
        <v>275</v>
      </c>
      <c r="S882" s="11" t="s">
        <v>5543</v>
      </c>
      <c r="T882" s="6"/>
      <c r="U882" s="27" t="str">
        <f>HYPERLINK("https://media.infra-m.ru/2053/2053981/cover/2053981.jpg", "Обложка")</f>
        <v>Обложка</v>
      </c>
      <c r="V882" s="27" t="str">
        <f>HYPERLINK("https://znanium.com/catalog/product/1745609", "Ознакомиться")</f>
        <v>Ознакомиться</v>
      </c>
      <c r="W882" s="8" t="s">
        <v>269</v>
      </c>
      <c r="X882" s="6"/>
      <c r="Y882" s="6"/>
      <c r="Z882" s="6"/>
      <c r="AA882" s="6" t="s">
        <v>463</v>
      </c>
    </row>
    <row r="883" spans="1:27" s="4" customFormat="1" ht="51.95" customHeight="1">
      <c r="A883" s="5">
        <v>0</v>
      </c>
      <c r="B883" s="6" t="s">
        <v>5544</v>
      </c>
      <c r="C883" s="13">
        <v>1004.9</v>
      </c>
      <c r="D883" s="8" t="s">
        <v>5545</v>
      </c>
      <c r="E883" s="8" t="s">
        <v>5506</v>
      </c>
      <c r="F883" s="8" t="s">
        <v>5546</v>
      </c>
      <c r="G883" s="6" t="s">
        <v>37</v>
      </c>
      <c r="H883" s="6" t="s">
        <v>53</v>
      </c>
      <c r="I883" s="8" t="s">
        <v>165</v>
      </c>
      <c r="J883" s="9">
        <v>1</v>
      </c>
      <c r="K883" s="9">
        <v>224</v>
      </c>
      <c r="L883" s="9">
        <v>2023</v>
      </c>
      <c r="M883" s="8" t="s">
        <v>5547</v>
      </c>
      <c r="N883" s="8" t="s">
        <v>56</v>
      </c>
      <c r="O883" s="8" t="s">
        <v>57</v>
      </c>
      <c r="P883" s="6" t="s">
        <v>42</v>
      </c>
      <c r="Q883" s="8" t="s">
        <v>43</v>
      </c>
      <c r="R883" s="10" t="s">
        <v>5548</v>
      </c>
      <c r="S883" s="11" t="s">
        <v>5549</v>
      </c>
      <c r="T883" s="6"/>
      <c r="U883" s="27" t="str">
        <f>HYPERLINK("https://media.infra-m.ru/1921/1921415/cover/1921415.jpg", "Обложка")</f>
        <v>Обложка</v>
      </c>
      <c r="V883" s="27" t="str">
        <f>HYPERLINK("https://znanium.com/catalog/product/965342", "Ознакомиться")</f>
        <v>Ознакомиться</v>
      </c>
      <c r="W883" s="8" t="s">
        <v>46</v>
      </c>
      <c r="X883" s="6"/>
      <c r="Y883" s="6"/>
      <c r="Z883" s="6"/>
      <c r="AA883" s="6" t="s">
        <v>208</v>
      </c>
    </row>
    <row r="884" spans="1:27" s="4" customFormat="1" ht="51.95" customHeight="1">
      <c r="A884" s="5">
        <v>0</v>
      </c>
      <c r="B884" s="6" t="s">
        <v>5550</v>
      </c>
      <c r="C884" s="13">
        <v>1084.9000000000001</v>
      </c>
      <c r="D884" s="8" t="s">
        <v>5551</v>
      </c>
      <c r="E884" s="8" t="s">
        <v>5520</v>
      </c>
      <c r="F884" s="8" t="s">
        <v>1691</v>
      </c>
      <c r="G884" s="6" t="s">
        <v>37</v>
      </c>
      <c r="H884" s="6" t="s">
        <v>53</v>
      </c>
      <c r="I884" s="8" t="s">
        <v>165</v>
      </c>
      <c r="J884" s="9">
        <v>1</v>
      </c>
      <c r="K884" s="9">
        <v>240</v>
      </c>
      <c r="L884" s="9">
        <v>2023</v>
      </c>
      <c r="M884" s="8" t="s">
        <v>5552</v>
      </c>
      <c r="N884" s="8" t="s">
        <v>56</v>
      </c>
      <c r="O884" s="8" t="s">
        <v>57</v>
      </c>
      <c r="P884" s="6" t="s">
        <v>42</v>
      </c>
      <c r="Q884" s="8" t="s">
        <v>43</v>
      </c>
      <c r="R884" s="10" t="s">
        <v>349</v>
      </c>
      <c r="S884" s="11" t="s">
        <v>5553</v>
      </c>
      <c r="T884" s="6" t="s">
        <v>277</v>
      </c>
      <c r="U884" s="27" t="str">
        <f>HYPERLINK("https://media.infra-m.ru/1911/1911827/cover/1911827.jpg", "Обложка")</f>
        <v>Обложка</v>
      </c>
      <c r="V884" s="27" t="str">
        <f>HYPERLINK("https://znanium.com/catalog/product/1003848", "Ознакомиться")</f>
        <v>Ознакомиться</v>
      </c>
      <c r="W884" s="8" t="s">
        <v>841</v>
      </c>
      <c r="X884" s="6"/>
      <c r="Y884" s="6"/>
      <c r="Z884" s="6"/>
      <c r="AA884" s="6" t="s">
        <v>201</v>
      </c>
    </row>
    <row r="885" spans="1:27" s="4" customFormat="1" ht="51.95" customHeight="1">
      <c r="A885" s="5">
        <v>0</v>
      </c>
      <c r="B885" s="6" t="s">
        <v>5554</v>
      </c>
      <c r="C885" s="13">
        <v>1194.9000000000001</v>
      </c>
      <c r="D885" s="8" t="s">
        <v>5555</v>
      </c>
      <c r="E885" s="8" t="s">
        <v>5506</v>
      </c>
      <c r="F885" s="8" t="s">
        <v>5556</v>
      </c>
      <c r="G885" s="6" t="s">
        <v>37</v>
      </c>
      <c r="H885" s="6" t="s">
        <v>53</v>
      </c>
      <c r="I885" s="8" t="s">
        <v>54</v>
      </c>
      <c r="J885" s="9">
        <v>1</v>
      </c>
      <c r="K885" s="9">
        <v>372</v>
      </c>
      <c r="L885" s="9">
        <v>2019</v>
      </c>
      <c r="M885" s="8" t="s">
        <v>5557</v>
      </c>
      <c r="N885" s="8" t="s">
        <v>56</v>
      </c>
      <c r="O885" s="8" t="s">
        <v>57</v>
      </c>
      <c r="P885" s="6" t="s">
        <v>42</v>
      </c>
      <c r="Q885" s="8" t="s">
        <v>43</v>
      </c>
      <c r="R885" s="10" t="s">
        <v>241</v>
      </c>
      <c r="S885" s="11"/>
      <c r="T885" s="6" t="s">
        <v>277</v>
      </c>
      <c r="U885" s="27" t="str">
        <f>HYPERLINK("https://media.infra-m.ru/1002/1002725/cover/1002725.jpg", "Обложка")</f>
        <v>Обложка</v>
      </c>
      <c r="V885" s="27" t="str">
        <f>HYPERLINK("https://znanium.com/catalog/product/1002725", "Ознакомиться")</f>
        <v>Ознакомиться</v>
      </c>
      <c r="W885" s="8" t="s">
        <v>568</v>
      </c>
      <c r="X885" s="6"/>
      <c r="Y885" s="6"/>
      <c r="Z885" s="6"/>
      <c r="AA885" s="6" t="s">
        <v>62</v>
      </c>
    </row>
    <row r="886" spans="1:27" s="4" customFormat="1" ht="51.95" customHeight="1">
      <c r="A886" s="5">
        <v>0</v>
      </c>
      <c r="B886" s="6" t="s">
        <v>5558</v>
      </c>
      <c r="C886" s="7">
        <v>264.89999999999998</v>
      </c>
      <c r="D886" s="8" t="s">
        <v>5559</v>
      </c>
      <c r="E886" s="8" t="s">
        <v>5506</v>
      </c>
      <c r="F886" s="8" t="s">
        <v>2221</v>
      </c>
      <c r="G886" s="6" t="s">
        <v>52</v>
      </c>
      <c r="H886" s="6" t="s">
        <v>98</v>
      </c>
      <c r="I886" s="8" t="s">
        <v>165</v>
      </c>
      <c r="J886" s="9">
        <v>1</v>
      </c>
      <c r="K886" s="9">
        <v>88</v>
      </c>
      <c r="L886" s="9">
        <v>2023</v>
      </c>
      <c r="M886" s="8" t="s">
        <v>5560</v>
      </c>
      <c r="N886" s="8" t="s">
        <v>56</v>
      </c>
      <c r="O886" s="8" t="s">
        <v>57</v>
      </c>
      <c r="P886" s="6" t="s">
        <v>42</v>
      </c>
      <c r="Q886" s="8" t="s">
        <v>43</v>
      </c>
      <c r="R886" s="10" t="s">
        <v>5561</v>
      </c>
      <c r="S886" s="11"/>
      <c r="T886" s="6"/>
      <c r="U886" s="27" t="str">
        <f>HYPERLINK("https://media.infra-m.ru/1900/1900847/cover/1900847.jpg", "Обложка")</f>
        <v>Обложка</v>
      </c>
      <c r="V886" s="27" t="str">
        <f>HYPERLINK("https://znanium.com/catalog/product/1062380", "Ознакомиться")</f>
        <v>Ознакомиться</v>
      </c>
      <c r="W886" s="8" t="s">
        <v>2225</v>
      </c>
      <c r="X886" s="6"/>
      <c r="Y886" s="6"/>
      <c r="Z886" s="6"/>
      <c r="AA886" s="6" t="s">
        <v>592</v>
      </c>
    </row>
    <row r="887" spans="1:27" s="4" customFormat="1" ht="51.95" customHeight="1">
      <c r="A887" s="5">
        <v>0</v>
      </c>
      <c r="B887" s="6" t="s">
        <v>5562</v>
      </c>
      <c r="C887" s="13">
        <v>1134</v>
      </c>
      <c r="D887" s="8" t="s">
        <v>5563</v>
      </c>
      <c r="E887" s="8" t="s">
        <v>5506</v>
      </c>
      <c r="F887" s="8" t="s">
        <v>5564</v>
      </c>
      <c r="G887" s="6" t="s">
        <v>37</v>
      </c>
      <c r="H887" s="6" t="s">
        <v>53</v>
      </c>
      <c r="I887" s="8" t="s">
        <v>165</v>
      </c>
      <c r="J887" s="9">
        <v>1</v>
      </c>
      <c r="K887" s="9">
        <v>247</v>
      </c>
      <c r="L887" s="9">
        <v>2023</v>
      </c>
      <c r="M887" s="8" t="s">
        <v>5565</v>
      </c>
      <c r="N887" s="8" t="s">
        <v>56</v>
      </c>
      <c r="O887" s="8" t="s">
        <v>57</v>
      </c>
      <c r="P887" s="6" t="s">
        <v>42</v>
      </c>
      <c r="Q887" s="8" t="s">
        <v>43</v>
      </c>
      <c r="R887" s="10" t="s">
        <v>5566</v>
      </c>
      <c r="S887" s="11" t="s">
        <v>1694</v>
      </c>
      <c r="T887" s="6"/>
      <c r="U887" s="27" t="str">
        <f>HYPERLINK("https://media.infra-m.ru/1892/1892017/cover/1892017.jpg", "Обложка")</f>
        <v>Обложка</v>
      </c>
      <c r="V887" s="27" t="str">
        <f>HYPERLINK("https://znanium.com/catalog/product/1047178", "Ознакомиться")</f>
        <v>Ознакомиться</v>
      </c>
      <c r="W887" s="8" t="s">
        <v>351</v>
      </c>
      <c r="X887" s="6"/>
      <c r="Y887" s="6"/>
      <c r="Z887" s="6"/>
      <c r="AA887" s="6" t="s">
        <v>288</v>
      </c>
    </row>
    <row r="888" spans="1:27" s="4" customFormat="1" ht="51.95" customHeight="1">
      <c r="A888" s="5">
        <v>0</v>
      </c>
      <c r="B888" s="6" t="s">
        <v>5567</v>
      </c>
      <c r="C888" s="13">
        <v>1094</v>
      </c>
      <c r="D888" s="8" t="s">
        <v>5568</v>
      </c>
      <c r="E888" s="8" t="s">
        <v>5506</v>
      </c>
      <c r="F888" s="8" t="s">
        <v>5569</v>
      </c>
      <c r="G888" s="6" t="s">
        <v>37</v>
      </c>
      <c r="H888" s="6" t="s">
        <v>53</v>
      </c>
      <c r="I888" s="8" t="s">
        <v>165</v>
      </c>
      <c r="J888" s="9">
        <v>1</v>
      </c>
      <c r="K888" s="9">
        <v>236</v>
      </c>
      <c r="L888" s="9">
        <v>2024</v>
      </c>
      <c r="M888" s="8" t="s">
        <v>5570</v>
      </c>
      <c r="N888" s="8" t="s">
        <v>56</v>
      </c>
      <c r="O888" s="8" t="s">
        <v>57</v>
      </c>
      <c r="P888" s="6" t="s">
        <v>42</v>
      </c>
      <c r="Q888" s="8" t="s">
        <v>43</v>
      </c>
      <c r="R888" s="10" t="s">
        <v>5538</v>
      </c>
      <c r="S888" s="11" t="s">
        <v>5571</v>
      </c>
      <c r="T888" s="6"/>
      <c r="U888" s="27" t="str">
        <f>HYPERLINK("https://media.infra-m.ru/2061/2061519/cover/2061519.jpg", "Обложка")</f>
        <v>Обложка</v>
      </c>
      <c r="V888" s="27" t="str">
        <f>HYPERLINK("https://znanium.com/catalog/product/968882", "Ознакомиться")</f>
        <v>Ознакомиться</v>
      </c>
      <c r="W888" s="8" t="s">
        <v>46</v>
      </c>
      <c r="X888" s="6"/>
      <c r="Y888" s="6"/>
      <c r="Z888" s="6"/>
      <c r="AA888" s="6" t="s">
        <v>84</v>
      </c>
    </row>
    <row r="889" spans="1:27" s="4" customFormat="1" ht="51.95" customHeight="1">
      <c r="A889" s="5">
        <v>0</v>
      </c>
      <c r="B889" s="6" t="s">
        <v>5572</v>
      </c>
      <c r="C889" s="13">
        <v>1744.9</v>
      </c>
      <c r="D889" s="8" t="s">
        <v>5573</v>
      </c>
      <c r="E889" s="8" t="s">
        <v>5574</v>
      </c>
      <c r="F889" s="8" t="s">
        <v>5564</v>
      </c>
      <c r="G889" s="6" t="s">
        <v>67</v>
      </c>
      <c r="H889" s="6" t="s">
        <v>53</v>
      </c>
      <c r="I889" s="8" t="s">
        <v>165</v>
      </c>
      <c r="J889" s="9">
        <v>1</v>
      </c>
      <c r="K889" s="9">
        <v>386</v>
      </c>
      <c r="L889" s="9">
        <v>2021</v>
      </c>
      <c r="M889" s="8" t="s">
        <v>5575</v>
      </c>
      <c r="N889" s="8" t="s">
        <v>56</v>
      </c>
      <c r="O889" s="8" t="s">
        <v>57</v>
      </c>
      <c r="P889" s="6" t="s">
        <v>69</v>
      </c>
      <c r="Q889" s="8" t="s">
        <v>43</v>
      </c>
      <c r="R889" s="10" t="s">
        <v>5576</v>
      </c>
      <c r="S889" s="11" t="s">
        <v>5577</v>
      </c>
      <c r="T889" s="6"/>
      <c r="U889" s="27" t="str">
        <f>HYPERLINK("https://media.infra-m.ru/1971/1971819/cover/1971819.jpg", "Обложка")</f>
        <v>Обложка</v>
      </c>
      <c r="V889" s="27" t="str">
        <f>HYPERLINK("https://znanium.com/catalog/product/1932275", "Ознакомиться")</f>
        <v>Ознакомиться</v>
      </c>
      <c r="W889" s="8" t="s">
        <v>351</v>
      </c>
      <c r="X889" s="6"/>
      <c r="Y889" s="6"/>
      <c r="Z889" s="6"/>
      <c r="AA889" s="6" t="s">
        <v>1335</v>
      </c>
    </row>
    <row r="890" spans="1:27" s="4" customFormat="1" ht="42" customHeight="1">
      <c r="A890" s="5">
        <v>0</v>
      </c>
      <c r="B890" s="6" t="s">
        <v>5578</v>
      </c>
      <c r="C890" s="7">
        <v>554.9</v>
      </c>
      <c r="D890" s="8" t="s">
        <v>5579</v>
      </c>
      <c r="E890" s="8" t="s">
        <v>5580</v>
      </c>
      <c r="F890" s="8" t="s">
        <v>5581</v>
      </c>
      <c r="G890" s="6" t="s">
        <v>52</v>
      </c>
      <c r="H890" s="6" t="s">
        <v>53</v>
      </c>
      <c r="I890" s="8" t="s">
        <v>114</v>
      </c>
      <c r="J890" s="9">
        <v>1</v>
      </c>
      <c r="K890" s="9">
        <v>164</v>
      </c>
      <c r="L890" s="9">
        <v>2019</v>
      </c>
      <c r="M890" s="8" t="s">
        <v>5582</v>
      </c>
      <c r="N890" s="8" t="s">
        <v>56</v>
      </c>
      <c r="O890" s="8" t="s">
        <v>57</v>
      </c>
      <c r="P890" s="6" t="s">
        <v>116</v>
      </c>
      <c r="Q890" s="8" t="s">
        <v>81</v>
      </c>
      <c r="R890" s="10" t="s">
        <v>5583</v>
      </c>
      <c r="S890" s="11"/>
      <c r="T890" s="6" t="s">
        <v>277</v>
      </c>
      <c r="U890" s="27" t="str">
        <f>HYPERLINK("https://media.infra-m.ru/1014/1014750/cover/1014750.jpg", "Обложка")</f>
        <v>Обложка</v>
      </c>
      <c r="V890" s="27" t="str">
        <f>HYPERLINK("https://znanium.com/catalog/product/1014750", "Ознакомиться")</f>
        <v>Ознакомиться</v>
      </c>
      <c r="W890" s="8" t="s">
        <v>287</v>
      </c>
      <c r="X890" s="6"/>
      <c r="Y890" s="6"/>
      <c r="Z890" s="6"/>
      <c r="AA890" s="6" t="s">
        <v>84</v>
      </c>
    </row>
    <row r="891" spans="1:27" s="4" customFormat="1" ht="44.1" customHeight="1">
      <c r="A891" s="5">
        <v>0</v>
      </c>
      <c r="B891" s="6" t="s">
        <v>5584</v>
      </c>
      <c r="C891" s="7">
        <v>660</v>
      </c>
      <c r="D891" s="8" t="s">
        <v>5585</v>
      </c>
      <c r="E891" s="8" t="s">
        <v>5586</v>
      </c>
      <c r="F891" s="8" t="s">
        <v>3452</v>
      </c>
      <c r="G891" s="6" t="s">
        <v>52</v>
      </c>
      <c r="H891" s="6" t="s">
        <v>98</v>
      </c>
      <c r="I891" s="8" t="s">
        <v>114</v>
      </c>
      <c r="J891" s="9">
        <v>1</v>
      </c>
      <c r="K891" s="9">
        <v>171</v>
      </c>
      <c r="L891" s="9">
        <v>2021</v>
      </c>
      <c r="M891" s="8" t="s">
        <v>5587</v>
      </c>
      <c r="N891" s="8" t="s">
        <v>56</v>
      </c>
      <c r="O891" s="8" t="s">
        <v>57</v>
      </c>
      <c r="P891" s="6" t="s">
        <v>116</v>
      </c>
      <c r="Q891" s="8" t="s">
        <v>81</v>
      </c>
      <c r="R891" s="10" t="s">
        <v>5588</v>
      </c>
      <c r="S891" s="11"/>
      <c r="T891" s="6"/>
      <c r="U891" s="27" t="str">
        <f>HYPERLINK("https://media.infra-m.ru/1816/1816808/cover/1816808.jpg", "Обложка")</f>
        <v>Обложка</v>
      </c>
      <c r="V891" s="12"/>
      <c r="W891" s="8" t="s">
        <v>3455</v>
      </c>
      <c r="X891" s="6"/>
      <c r="Y891" s="6"/>
      <c r="Z891" s="6"/>
      <c r="AA891" s="6" t="s">
        <v>1214</v>
      </c>
    </row>
    <row r="892" spans="1:27" s="4" customFormat="1" ht="42" customHeight="1">
      <c r="A892" s="5">
        <v>0</v>
      </c>
      <c r="B892" s="6" t="s">
        <v>5589</v>
      </c>
      <c r="C892" s="7">
        <v>540</v>
      </c>
      <c r="D892" s="8" t="s">
        <v>5590</v>
      </c>
      <c r="E892" s="8" t="s">
        <v>5591</v>
      </c>
      <c r="F892" s="8" t="s">
        <v>5592</v>
      </c>
      <c r="G892" s="6" t="s">
        <v>52</v>
      </c>
      <c r="H892" s="6" t="s">
        <v>53</v>
      </c>
      <c r="I892" s="8" t="s">
        <v>114</v>
      </c>
      <c r="J892" s="9">
        <v>1</v>
      </c>
      <c r="K892" s="9">
        <v>156</v>
      </c>
      <c r="L892" s="9">
        <v>2019</v>
      </c>
      <c r="M892" s="8" t="s">
        <v>5593</v>
      </c>
      <c r="N892" s="8" t="s">
        <v>56</v>
      </c>
      <c r="O892" s="8" t="s">
        <v>57</v>
      </c>
      <c r="P892" s="6" t="s">
        <v>116</v>
      </c>
      <c r="Q892" s="8" t="s">
        <v>81</v>
      </c>
      <c r="R892" s="10" t="s">
        <v>132</v>
      </c>
      <c r="S892" s="11"/>
      <c r="T892" s="6"/>
      <c r="U892" s="27" t="str">
        <f>HYPERLINK("https://media.infra-m.ru/1002/1002064/cover/1002064.jpg", "Обложка")</f>
        <v>Обложка</v>
      </c>
      <c r="V892" s="27" t="str">
        <f>HYPERLINK("https://znanium.com/catalog/product/1002064", "Ознакомиться")</f>
        <v>Ознакомиться</v>
      </c>
      <c r="W892" s="8" t="s">
        <v>1475</v>
      </c>
      <c r="X892" s="6"/>
      <c r="Y892" s="6"/>
      <c r="Z892" s="6"/>
      <c r="AA892" s="6" t="s">
        <v>208</v>
      </c>
    </row>
    <row r="893" spans="1:27" s="4" customFormat="1" ht="44.1" customHeight="1">
      <c r="A893" s="5">
        <v>0</v>
      </c>
      <c r="B893" s="6" t="s">
        <v>5594</v>
      </c>
      <c r="C893" s="7">
        <v>800</v>
      </c>
      <c r="D893" s="8" t="s">
        <v>5595</v>
      </c>
      <c r="E893" s="8" t="s">
        <v>5596</v>
      </c>
      <c r="F893" s="8" t="s">
        <v>5597</v>
      </c>
      <c r="G893" s="6" t="s">
        <v>67</v>
      </c>
      <c r="H893" s="6" t="s">
        <v>53</v>
      </c>
      <c r="I893" s="8" t="s">
        <v>522</v>
      </c>
      <c r="J893" s="9">
        <v>1</v>
      </c>
      <c r="K893" s="9">
        <v>175</v>
      </c>
      <c r="L893" s="9">
        <v>2024</v>
      </c>
      <c r="M893" s="8" t="s">
        <v>5598</v>
      </c>
      <c r="N893" s="8" t="s">
        <v>56</v>
      </c>
      <c r="O893" s="8" t="s">
        <v>57</v>
      </c>
      <c r="P893" s="6" t="s">
        <v>116</v>
      </c>
      <c r="Q893" s="8" t="s">
        <v>81</v>
      </c>
      <c r="R893" s="10" t="s">
        <v>5599</v>
      </c>
      <c r="S893" s="11"/>
      <c r="T893" s="6"/>
      <c r="U893" s="27" t="str">
        <f>HYPERLINK("https://media.infra-m.ru/2069/2069324/cover/2069324.jpg", "Обложка")</f>
        <v>Обложка</v>
      </c>
      <c r="V893" s="12"/>
      <c r="W893" s="8" t="s">
        <v>524</v>
      </c>
      <c r="X893" s="6"/>
      <c r="Y893" s="6"/>
      <c r="Z893" s="6"/>
      <c r="AA893" s="6" t="s">
        <v>73</v>
      </c>
    </row>
    <row r="894" spans="1:27" s="4" customFormat="1" ht="51.95" customHeight="1">
      <c r="A894" s="5">
        <v>0</v>
      </c>
      <c r="B894" s="6" t="s">
        <v>5600</v>
      </c>
      <c r="C894" s="7">
        <v>490</v>
      </c>
      <c r="D894" s="8" t="s">
        <v>5601</v>
      </c>
      <c r="E894" s="8" t="s">
        <v>5602</v>
      </c>
      <c r="F894" s="8" t="s">
        <v>5603</v>
      </c>
      <c r="G894" s="6" t="s">
        <v>52</v>
      </c>
      <c r="H894" s="6" t="s">
        <v>53</v>
      </c>
      <c r="I894" s="8" t="s">
        <v>114</v>
      </c>
      <c r="J894" s="9">
        <v>1</v>
      </c>
      <c r="K894" s="9">
        <v>94</v>
      </c>
      <c r="L894" s="9">
        <v>2023</v>
      </c>
      <c r="M894" s="8" t="s">
        <v>5604</v>
      </c>
      <c r="N894" s="8" t="s">
        <v>56</v>
      </c>
      <c r="O894" s="8" t="s">
        <v>57</v>
      </c>
      <c r="P894" s="6" t="s">
        <v>116</v>
      </c>
      <c r="Q894" s="8" t="s">
        <v>81</v>
      </c>
      <c r="R894" s="10" t="s">
        <v>5605</v>
      </c>
      <c r="S894" s="11"/>
      <c r="T894" s="6"/>
      <c r="U894" s="27" t="str">
        <f>HYPERLINK("https://media.infra-m.ru/1971/1971840/cover/1971840.jpg", "Обложка")</f>
        <v>Обложка</v>
      </c>
      <c r="V894" s="27" t="str">
        <f>HYPERLINK("https://znanium.com/catalog/product/1971840", "Ознакомиться")</f>
        <v>Ознакомиться</v>
      </c>
      <c r="W894" s="8" t="s">
        <v>1350</v>
      </c>
      <c r="X894" s="6"/>
      <c r="Y894" s="6"/>
      <c r="Z894" s="6"/>
      <c r="AA894" s="6" t="s">
        <v>84</v>
      </c>
    </row>
    <row r="895" spans="1:27" s="4" customFormat="1" ht="51.95" customHeight="1">
      <c r="A895" s="5">
        <v>0</v>
      </c>
      <c r="B895" s="6" t="s">
        <v>5606</v>
      </c>
      <c r="C895" s="13">
        <v>1130</v>
      </c>
      <c r="D895" s="8" t="s">
        <v>5607</v>
      </c>
      <c r="E895" s="8" t="s">
        <v>5608</v>
      </c>
      <c r="F895" s="8" t="s">
        <v>4054</v>
      </c>
      <c r="G895" s="6" t="s">
        <v>52</v>
      </c>
      <c r="H895" s="6" t="s">
        <v>53</v>
      </c>
      <c r="I895" s="8" t="s">
        <v>114</v>
      </c>
      <c r="J895" s="9">
        <v>1</v>
      </c>
      <c r="K895" s="9">
        <v>244</v>
      </c>
      <c r="L895" s="9">
        <v>2024</v>
      </c>
      <c r="M895" s="8" t="s">
        <v>5609</v>
      </c>
      <c r="N895" s="8" t="s">
        <v>56</v>
      </c>
      <c r="O895" s="8" t="s">
        <v>57</v>
      </c>
      <c r="P895" s="6" t="s">
        <v>116</v>
      </c>
      <c r="Q895" s="8" t="s">
        <v>81</v>
      </c>
      <c r="R895" s="10" t="s">
        <v>5610</v>
      </c>
      <c r="S895" s="11"/>
      <c r="T895" s="6"/>
      <c r="U895" s="27" t="str">
        <f>HYPERLINK("https://media.infra-m.ru/2117/2117151/cover/2117151.jpg", "Обложка")</f>
        <v>Обложка</v>
      </c>
      <c r="V895" s="27" t="str">
        <f>HYPERLINK("https://znanium.com/catalog/product/2117151", "Ознакомиться")</f>
        <v>Ознакомиться</v>
      </c>
      <c r="W895" s="8" t="s">
        <v>72</v>
      </c>
      <c r="X895" s="6"/>
      <c r="Y895" s="6"/>
      <c r="Z895" s="6"/>
      <c r="AA895" s="6" t="s">
        <v>253</v>
      </c>
    </row>
    <row r="896" spans="1:27" s="4" customFormat="1" ht="51.95" customHeight="1">
      <c r="A896" s="5">
        <v>0</v>
      </c>
      <c r="B896" s="6" t="s">
        <v>5611</v>
      </c>
      <c r="C896" s="7">
        <v>980</v>
      </c>
      <c r="D896" s="8" t="s">
        <v>5612</v>
      </c>
      <c r="E896" s="8" t="s">
        <v>5613</v>
      </c>
      <c r="F896" s="8" t="s">
        <v>1361</v>
      </c>
      <c r="G896" s="6" t="s">
        <v>52</v>
      </c>
      <c r="H896" s="6" t="s">
        <v>53</v>
      </c>
      <c r="I896" s="8" t="s">
        <v>114</v>
      </c>
      <c r="J896" s="9">
        <v>1</v>
      </c>
      <c r="K896" s="9">
        <v>217</v>
      </c>
      <c r="L896" s="9">
        <v>2023</v>
      </c>
      <c r="M896" s="8" t="s">
        <v>5614</v>
      </c>
      <c r="N896" s="8" t="s">
        <v>56</v>
      </c>
      <c r="O896" s="8" t="s">
        <v>57</v>
      </c>
      <c r="P896" s="6" t="s">
        <v>116</v>
      </c>
      <c r="Q896" s="8" t="s">
        <v>81</v>
      </c>
      <c r="R896" s="10" t="s">
        <v>5615</v>
      </c>
      <c r="S896" s="11"/>
      <c r="T896" s="6"/>
      <c r="U896" s="27" t="str">
        <f>HYPERLINK("https://media.infra-m.ru/1905/1905601/cover/1905601.jpg", "Обложка")</f>
        <v>Обложка</v>
      </c>
      <c r="V896" s="27" t="str">
        <f>HYPERLINK("https://znanium.com/catalog/product/1905601", "Ознакомиться")</f>
        <v>Ознакомиться</v>
      </c>
      <c r="W896" s="8" t="s">
        <v>1364</v>
      </c>
      <c r="X896" s="6"/>
      <c r="Y896" s="6"/>
      <c r="Z896" s="6"/>
      <c r="AA896" s="6" t="s">
        <v>253</v>
      </c>
    </row>
    <row r="897" spans="1:27" s="4" customFormat="1" ht="44.1" customHeight="1">
      <c r="A897" s="5">
        <v>0</v>
      </c>
      <c r="B897" s="6" t="s">
        <v>5616</v>
      </c>
      <c r="C897" s="13">
        <v>1020</v>
      </c>
      <c r="D897" s="8" t="s">
        <v>5617</v>
      </c>
      <c r="E897" s="8" t="s">
        <v>5618</v>
      </c>
      <c r="F897" s="8" t="s">
        <v>5619</v>
      </c>
      <c r="G897" s="6" t="s">
        <v>52</v>
      </c>
      <c r="H897" s="6" t="s">
        <v>53</v>
      </c>
      <c r="I897" s="8" t="s">
        <v>114</v>
      </c>
      <c r="J897" s="9">
        <v>1</v>
      </c>
      <c r="K897" s="9">
        <v>215</v>
      </c>
      <c r="L897" s="9">
        <v>2023</v>
      </c>
      <c r="M897" s="8" t="s">
        <v>5620</v>
      </c>
      <c r="N897" s="8" t="s">
        <v>56</v>
      </c>
      <c r="O897" s="8" t="s">
        <v>57</v>
      </c>
      <c r="P897" s="6" t="s">
        <v>116</v>
      </c>
      <c r="Q897" s="8" t="s">
        <v>81</v>
      </c>
      <c r="R897" s="10" t="s">
        <v>5621</v>
      </c>
      <c r="S897" s="11"/>
      <c r="T897" s="6"/>
      <c r="U897" s="27" t="str">
        <f>HYPERLINK("https://media.infra-m.ru/1989/1989211/cover/1989211.jpg", "Обложка")</f>
        <v>Обложка</v>
      </c>
      <c r="V897" s="27" t="str">
        <f>HYPERLINK("https://znanium.com/catalog/product/1989211", "Ознакомиться")</f>
        <v>Ознакомиться</v>
      </c>
      <c r="W897" s="8" t="s">
        <v>1475</v>
      </c>
      <c r="X897" s="6" t="s">
        <v>1343</v>
      </c>
      <c r="Y897" s="6"/>
      <c r="Z897" s="6"/>
      <c r="AA897" s="6" t="s">
        <v>93</v>
      </c>
    </row>
    <row r="898" spans="1:27" s="4" customFormat="1" ht="42" customHeight="1">
      <c r="A898" s="5">
        <v>0</v>
      </c>
      <c r="B898" s="6" t="s">
        <v>5622</v>
      </c>
      <c r="C898" s="7">
        <v>800</v>
      </c>
      <c r="D898" s="8" t="s">
        <v>5623</v>
      </c>
      <c r="E898" s="8" t="s">
        <v>5624</v>
      </c>
      <c r="F898" s="8" t="s">
        <v>5625</v>
      </c>
      <c r="G898" s="6" t="s">
        <v>52</v>
      </c>
      <c r="H898" s="6" t="s">
        <v>53</v>
      </c>
      <c r="I898" s="8" t="s">
        <v>114</v>
      </c>
      <c r="J898" s="9">
        <v>1</v>
      </c>
      <c r="K898" s="9">
        <v>228</v>
      </c>
      <c r="L898" s="9">
        <v>2020</v>
      </c>
      <c r="M898" s="8" t="s">
        <v>5626</v>
      </c>
      <c r="N898" s="8" t="s">
        <v>56</v>
      </c>
      <c r="O898" s="8" t="s">
        <v>57</v>
      </c>
      <c r="P898" s="6" t="s">
        <v>116</v>
      </c>
      <c r="Q898" s="8" t="s">
        <v>81</v>
      </c>
      <c r="R898" s="10" t="s">
        <v>5627</v>
      </c>
      <c r="S898" s="11"/>
      <c r="T898" s="6"/>
      <c r="U898" s="27" t="str">
        <f>HYPERLINK("https://media.infra-m.ru/1044/1044506/cover/1044506.jpg", "Обложка")</f>
        <v>Обложка</v>
      </c>
      <c r="V898" s="27" t="str">
        <f>HYPERLINK("https://znanium.com/catalog/product/1044506", "Ознакомиться")</f>
        <v>Ознакомиться</v>
      </c>
      <c r="W898" s="8" t="s">
        <v>1342</v>
      </c>
      <c r="X898" s="6"/>
      <c r="Y898" s="6"/>
      <c r="Z898" s="6"/>
      <c r="AA898" s="6" t="s">
        <v>62</v>
      </c>
    </row>
    <row r="899" spans="1:27" s="4" customFormat="1" ht="44.1" customHeight="1">
      <c r="A899" s="5">
        <v>0</v>
      </c>
      <c r="B899" s="6" t="s">
        <v>5628</v>
      </c>
      <c r="C899" s="7">
        <v>784</v>
      </c>
      <c r="D899" s="8" t="s">
        <v>5629</v>
      </c>
      <c r="E899" s="8" t="s">
        <v>5630</v>
      </c>
      <c r="F899" s="8" t="s">
        <v>5631</v>
      </c>
      <c r="G899" s="6" t="s">
        <v>52</v>
      </c>
      <c r="H899" s="6" t="s">
        <v>98</v>
      </c>
      <c r="I899" s="8" t="s">
        <v>114</v>
      </c>
      <c r="J899" s="9">
        <v>1</v>
      </c>
      <c r="K899" s="9">
        <v>170</v>
      </c>
      <c r="L899" s="9">
        <v>2024</v>
      </c>
      <c r="M899" s="8" t="s">
        <v>5632</v>
      </c>
      <c r="N899" s="8" t="s">
        <v>56</v>
      </c>
      <c r="O899" s="8" t="s">
        <v>57</v>
      </c>
      <c r="P899" s="6" t="s">
        <v>116</v>
      </c>
      <c r="Q899" s="8" t="s">
        <v>785</v>
      </c>
      <c r="R899" s="10" t="s">
        <v>1232</v>
      </c>
      <c r="S899" s="11"/>
      <c r="T899" s="6"/>
      <c r="U899" s="27" t="str">
        <f>HYPERLINK("https://media.infra-m.ru/2044/2044353/cover/2044353.jpg", "Обложка")</f>
        <v>Обложка</v>
      </c>
      <c r="V899" s="27" t="str">
        <f>HYPERLINK("https://znanium.com/catalog/product/958984", "Ознакомиться")</f>
        <v>Ознакомиться</v>
      </c>
      <c r="W899" s="8" t="s">
        <v>5633</v>
      </c>
      <c r="X899" s="6"/>
      <c r="Y899" s="6"/>
      <c r="Z899" s="6"/>
      <c r="AA899" s="6" t="s">
        <v>208</v>
      </c>
    </row>
    <row r="900" spans="1:27" s="4" customFormat="1" ht="51.95" customHeight="1">
      <c r="A900" s="5">
        <v>0</v>
      </c>
      <c r="B900" s="6" t="s">
        <v>5634</v>
      </c>
      <c r="C900" s="13">
        <v>1400</v>
      </c>
      <c r="D900" s="8" t="s">
        <v>5635</v>
      </c>
      <c r="E900" s="8" t="s">
        <v>5636</v>
      </c>
      <c r="F900" s="8" t="s">
        <v>5637</v>
      </c>
      <c r="G900" s="6" t="s">
        <v>37</v>
      </c>
      <c r="H900" s="6" t="s">
        <v>53</v>
      </c>
      <c r="I900" s="8" t="s">
        <v>165</v>
      </c>
      <c r="J900" s="9">
        <v>1</v>
      </c>
      <c r="K900" s="9">
        <v>479</v>
      </c>
      <c r="L900" s="9">
        <v>2018</v>
      </c>
      <c r="M900" s="8" t="s">
        <v>5638</v>
      </c>
      <c r="N900" s="8" t="s">
        <v>56</v>
      </c>
      <c r="O900" s="8" t="s">
        <v>57</v>
      </c>
      <c r="P900" s="6" t="s">
        <v>69</v>
      </c>
      <c r="Q900" s="8" t="s">
        <v>43</v>
      </c>
      <c r="R900" s="10" t="s">
        <v>275</v>
      </c>
      <c r="S900" s="11" t="s">
        <v>5639</v>
      </c>
      <c r="T900" s="6"/>
      <c r="U900" s="27" t="str">
        <f>HYPERLINK("https://media.infra-m.ru/0977/0977821/cover/977821.jpg", "Обложка")</f>
        <v>Обложка</v>
      </c>
      <c r="V900" s="27" t="str">
        <f>HYPERLINK("https://znanium.com/catalog/product/2001678", "Ознакомиться")</f>
        <v>Ознакомиться</v>
      </c>
      <c r="W900" s="8" t="s">
        <v>568</v>
      </c>
      <c r="X900" s="6"/>
      <c r="Y900" s="6"/>
      <c r="Z900" s="6"/>
      <c r="AA900" s="6" t="s">
        <v>73</v>
      </c>
    </row>
    <row r="901" spans="1:27" s="4" customFormat="1" ht="42" customHeight="1">
      <c r="A901" s="5">
        <v>0</v>
      </c>
      <c r="B901" s="6" t="s">
        <v>5640</v>
      </c>
      <c r="C901" s="7">
        <v>800</v>
      </c>
      <c r="D901" s="8" t="s">
        <v>5641</v>
      </c>
      <c r="E901" s="8" t="s">
        <v>5642</v>
      </c>
      <c r="F901" s="8" t="s">
        <v>5643</v>
      </c>
      <c r="G901" s="6" t="s">
        <v>52</v>
      </c>
      <c r="H901" s="6" t="s">
        <v>53</v>
      </c>
      <c r="I901" s="8" t="s">
        <v>114</v>
      </c>
      <c r="J901" s="9">
        <v>1</v>
      </c>
      <c r="K901" s="9">
        <v>171</v>
      </c>
      <c r="L901" s="9">
        <v>2023</v>
      </c>
      <c r="M901" s="8" t="s">
        <v>5644</v>
      </c>
      <c r="N901" s="8" t="s">
        <v>56</v>
      </c>
      <c r="O901" s="8" t="s">
        <v>57</v>
      </c>
      <c r="P901" s="6" t="s">
        <v>116</v>
      </c>
      <c r="Q901" s="8" t="s">
        <v>81</v>
      </c>
      <c r="R901" s="10" t="s">
        <v>2282</v>
      </c>
      <c r="S901" s="11"/>
      <c r="T901" s="6"/>
      <c r="U901" s="27" t="str">
        <f>HYPERLINK("https://media.infra-m.ru/1900/1900981/cover/1900981.jpg", "Обложка")</f>
        <v>Обложка</v>
      </c>
      <c r="V901" s="27" t="str">
        <f>HYPERLINK("https://znanium.com/catalog/product/1900981", "Ознакомиться")</f>
        <v>Ознакомиться</v>
      </c>
      <c r="W901" s="8"/>
      <c r="X901" s="6" t="s">
        <v>1384</v>
      </c>
      <c r="Y901" s="6"/>
      <c r="Z901" s="6"/>
      <c r="AA901" s="6" t="s">
        <v>93</v>
      </c>
    </row>
    <row r="902" spans="1:27" s="4" customFormat="1" ht="51.95" customHeight="1">
      <c r="A902" s="5">
        <v>0</v>
      </c>
      <c r="B902" s="6" t="s">
        <v>5645</v>
      </c>
      <c r="C902" s="13">
        <v>1040</v>
      </c>
      <c r="D902" s="8" t="s">
        <v>5646</v>
      </c>
      <c r="E902" s="8" t="s">
        <v>5647</v>
      </c>
      <c r="F902" s="8" t="s">
        <v>5648</v>
      </c>
      <c r="G902" s="6" t="s">
        <v>67</v>
      </c>
      <c r="H902" s="6" t="s">
        <v>53</v>
      </c>
      <c r="I902" s="8" t="s">
        <v>3283</v>
      </c>
      <c r="J902" s="9">
        <v>1</v>
      </c>
      <c r="K902" s="9">
        <v>204</v>
      </c>
      <c r="L902" s="9">
        <v>2024</v>
      </c>
      <c r="M902" s="8" t="s">
        <v>5649</v>
      </c>
      <c r="N902" s="8" t="s">
        <v>56</v>
      </c>
      <c r="O902" s="8" t="s">
        <v>57</v>
      </c>
      <c r="P902" s="6" t="s">
        <v>116</v>
      </c>
      <c r="Q902" s="8" t="s">
        <v>81</v>
      </c>
      <c r="R902" s="10" t="s">
        <v>5650</v>
      </c>
      <c r="S902" s="11"/>
      <c r="T902" s="6"/>
      <c r="U902" s="27" t="str">
        <f>HYPERLINK("https://media.infra-m.ru/2117/2117551/cover/2117551.jpg", "Обложка")</f>
        <v>Обложка</v>
      </c>
      <c r="V902" s="27" t="str">
        <f>HYPERLINK("https://znanium.com/catalog/product/2021353", "Ознакомиться")</f>
        <v>Ознакомиться</v>
      </c>
      <c r="W902" s="8" t="s">
        <v>46</v>
      </c>
      <c r="X902" s="6"/>
      <c r="Y902" s="6"/>
      <c r="Z902" s="6"/>
      <c r="AA902" s="6" t="s">
        <v>1133</v>
      </c>
    </row>
    <row r="903" spans="1:27" s="4" customFormat="1" ht="44.1" customHeight="1">
      <c r="A903" s="5">
        <v>0</v>
      </c>
      <c r="B903" s="6" t="s">
        <v>5651</v>
      </c>
      <c r="C903" s="7">
        <v>960</v>
      </c>
      <c r="D903" s="8" t="s">
        <v>5652</v>
      </c>
      <c r="E903" s="8" t="s">
        <v>5653</v>
      </c>
      <c r="F903" s="8" t="s">
        <v>965</v>
      </c>
      <c r="G903" s="6" t="s">
        <v>52</v>
      </c>
      <c r="H903" s="6" t="s">
        <v>53</v>
      </c>
      <c r="I903" s="8" t="s">
        <v>114</v>
      </c>
      <c r="J903" s="9">
        <v>1</v>
      </c>
      <c r="K903" s="9">
        <v>213</v>
      </c>
      <c r="L903" s="9">
        <v>2023</v>
      </c>
      <c r="M903" s="8" t="s">
        <v>5654</v>
      </c>
      <c r="N903" s="8" t="s">
        <v>56</v>
      </c>
      <c r="O903" s="8" t="s">
        <v>57</v>
      </c>
      <c r="P903" s="6" t="s">
        <v>116</v>
      </c>
      <c r="Q903" s="8" t="s">
        <v>81</v>
      </c>
      <c r="R903" s="10" t="s">
        <v>2055</v>
      </c>
      <c r="S903" s="11"/>
      <c r="T903" s="6"/>
      <c r="U903" s="27" t="str">
        <f>HYPERLINK("https://media.infra-m.ru/1971/1971822/cover/1971822.jpg", "Обложка")</f>
        <v>Обложка</v>
      </c>
      <c r="V903" s="27" t="str">
        <f>HYPERLINK("https://znanium.com/catalog/product/1971822", "Ознакомиться")</f>
        <v>Ознакомиться</v>
      </c>
      <c r="W903" s="8" t="s">
        <v>3015</v>
      </c>
      <c r="X903" s="6"/>
      <c r="Y903" s="6"/>
      <c r="Z903" s="6"/>
      <c r="AA903" s="6" t="s">
        <v>226</v>
      </c>
    </row>
    <row r="904" spans="1:27" s="4" customFormat="1" ht="51.95" customHeight="1">
      <c r="A904" s="5">
        <v>0</v>
      </c>
      <c r="B904" s="6" t="s">
        <v>5655</v>
      </c>
      <c r="C904" s="7">
        <v>994</v>
      </c>
      <c r="D904" s="8" t="s">
        <v>5656</v>
      </c>
      <c r="E904" s="8" t="s">
        <v>5657</v>
      </c>
      <c r="F904" s="8" t="s">
        <v>2458</v>
      </c>
      <c r="G904" s="6" t="s">
        <v>37</v>
      </c>
      <c r="H904" s="6" t="s">
        <v>597</v>
      </c>
      <c r="I904" s="8"/>
      <c r="J904" s="9">
        <v>1</v>
      </c>
      <c r="K904" s="9">
        <v>256</v>
      </c>
      <c r="L904" s="9">
        <v>2023</v>
      </c>
      <c r="M904" s="8" t="s">
        <v>5658</v>
      </c>
      <c r="N904" s="8" t="s">
        <v>56</v>
      </c>
      <c r="O904" s="8" t="s">
        <v>57</v>
      </c>
      <c r="P904" s="6" t="s">
        <v>42</v>
      </c>
      <c r="Q904" s="8" t="s">
        <v>43</v>
      </c>
      <c r="R904" s="10" t="s">
        <v>5659</v>
      </c>
      <c r="S904" s="11"/>
      <c r="T904" s="6"/>
      <c r="U904" s="27" t="str">
        <f>HYPERLINK("https://media.infra-m.ru/1993/1993584/cover/1993584.jpg", "Обложка")</f>
        <v>Обложка</v>
      </c>
      <c r="V904" s="27" t="str">
        <f>HYPERLINK("https://znanium.com/catalog/product/1010111", "Ознакомиться")</f>
        <v>Ознакомиться</v>
      </c>
      <c r="W904" s="8" t="s">
        <v>1748</v>
      </c>
      <c r="X904" s="6"/>
      <c r="Y904" s="6"/>
      <c r="Z904" s="6"/>
      <c r="AA904" s="6" t="s">
        <v>208</v>
      </c>
    </row>
    <row r="905" spans="1:27" s="4" customFormat="1" ht="51.95" customHeight="1">
      <c r="A905" s="5">
        <v>0</v>
      </c>
      <c r="B905" s="6" t="s">
        <v>5660</v>
      </c>
      <c r="C905" s="7">
        <v>744.9</v>
      </c>
      <c r="D905" s="8" t="s">
        <v>5661</v>
      </c>
      <c r="E905" s="8" t="s">
        <v>5662</v>
      </c>
      <c r="F905" s="8" t="s">
        <v>5663</v>
      </c>
      <c r="G905" s="6" t="s">
        <v>37</v>
      </c>
      <c r="H905" s="6" t="s">
        <v>53</v>
      </c>
      <c r="I905" s="8" t="s">
        <v>114</v>
      </c>
      <c r="J905" s="9">
        <v>1</v>
      </c>
      <c r="K905" s="9">
        <v>192</v>
      </c>
      <c r="L905" s="9">
        <v>2022</v>
      </c>
      <c r="M905" s="8" t="s">
        <v>5664</v>
      </c>
      <c r="N905" s="8" t="s">
        <v>56</v>
      </c>
      <c r="O905" s="8" t="s">
        <v>57</v>
      </c>
      <c r="P905" s="6" t="s">
        <v>116</v>
      </c>
      <c r="Q905" s="8" t="s">
        <v>81</v>
      </c>
      <c r="R905" s="10" t="s">
        <v>117</v>
      </c>
      <c r="S905" s="11"/>
      <c r="T905" s="6"/>
      <c r="U905" s="27" t="str">
        <f>HYPERLINK("https://media.infra-m.ru/1855/1855388/cover/1855388.jpg", "Обложка")</f>
        <v>Обложка</v>
      </c>
      <c r="V905" s="27" t="str">
        <f>HYPERLINK("https://znanium.com/catalog/product/1013466", "Ознакомиться")</f>
        <v>Ознакомиться</v>
      </c>
      <c r="W905" s="8" t="s">
        <v>91</v>
      </c>
      <c r="X905" s="6"/>
      <c r="Y905" s="6"/>
      <c r="Z905" s="6"/>
      <c r="AA905" s="6" t="s">
        <v>208</v>
      </c>
    </row>
    <row r="906" spans="1:27" s="4" customFormat="1" ht="51.95" customHeight="1">
      <c r="A906" s="5">
        <v>0</v>
      </c>
      <c r="B906" s="6" t="s">
        <v>5665</v>
      </c>
      <c r="C906" s="13">
        <v>1310</v>
      </c>
      <c r="D906" s="8" t="s">
        <v>5666</v>
      </c>
      <c r="E906" s="8" t="s">
        <v>5667</v>
      </c>
      <c r="F906" s="8" t="s">
        <v>5668</v>
      </c>
      <c r="G906" s="6" t="s">
        <v>52</v>
      </c>
      <c r="H906" s="6" t="s">
        <v>53</v>
      </c>
      <c r="I906" s="8" t="s">
        <v>114</v>
      </c>
      <c r="J906" s="9">
        <v>1</v>
      </c>
      <c r="K906" s="9">
        <v>290</v>
      </c>
      <c r="L906" s="9">
        <v>2023</v>
      </c>
      <c r="M906" s="8" t="s">
        <v>5669</v>
      </c>
      <c r="N906" s="8" t="s">
        <v>56</v>
      </c>
      <c r="O906" s="8" t="s">
        <v>57</v>
      </c>
      <c r="P906" s="6" t="s">
        <v>116</v>
      </c>
      <c r="Q906" s="8" t="s">
        <v>81</v>
      </c>
      <c r="R906" s="10" t="s">
        <v>4347</v>
      </c>
      <c r="S906" s="11"/>
      <c r="T906" s="6"/>
      <c r="U906" s="27" t="str">
        <f>HYPERLINK("https://media.infra-m.ru/1981/1981618/cover/1981618.jpg", "Обложка")</f>
        <v>Обложка</v>
      </c>
      <c r="V906" s="27" t="str">
        <f>HYPERLINK("https://znanium.com/catalog/product/1981618", "Ознакомиться")</f>
        <v>Ознакомиться</v>
      </c>
      <c r="W906" s="8" t="s">
        <v>3274</v>
      </c>
      <c r="X906" s="6"/>
      <c r="Y906" s="6"/>
      <c r="Z906" s="6"/>
      <c r="AA906" s="6" t="s">
        <v>47</v>
      </c>
    </row>
    <row r="907" spans="1:27" s="4" customFormat="1" ht="51.95" customHeight="1">
      <c r="A907" s="5">
        <v>0</v>
      </c>
      <c r="B907" s="6" t="s">
        <v>5670</v>
      </c>
      <c r="C907" s="13">
        <v>1754</v>
      </c>
      <c r="D907" s="8" t="s">
        <v>5671</v>
      </c>
      <c r="E907" s="8" t="s">
        <v>5672</v>
      </c>
      <c r="F907" s="8" t="s">
        <v>5673</v>
      </c>
      <c r="G907" s="6" t="s">
        <v>67</v>
      </c>
      <c r="H907" s="6" t="s">
        <v>53</v>
      </c>
      <c r="I907" s="8" t="s">
        <v>165</v>
      </c>
      <c r="J907" s="9">
        <v>1</v>
      </c>
      <c r="K907" s="9">
        <v>381</v>
      </c>
      <c r="L907" s="9">
        <v>2023</v>
      </c>
      <c r="M907" s="8" t="s">
        <v>5674</v>
      </c>
      <c r="N907" s="8" t="s">
        <v>56</v>
      </c>
      <c r="O907" s="8" t="s">
        <v>57</v>
      </c>
      <c r="P907" s="6" t="s">
        <v>42</v>
      </c>
      <c r="Q907" s="8" t="s">
        <v>43</v>
      </c>
      <c r="R907" s="10" t="s">
        <v>5675</v>
      </c>
      <c r="S907" s="11" t="s">
        <v>5676</v>
      </c>
      <c r="T907" s="6"/>
      <c r="U907" s="27" t="str">
        <f>HYPERLINK("https://media.infra-m.ru/2066/2066330/cover/2066330.jpg", "Обложка")</f>
        <v>Обложка</v>
      </c>
      <c r="V907" s="27" t="str">
        <f>HYPERLINK("https://znanium.com/catalog/product/1896951", "Ознакомиться")</f>
        <v>Ознакомиться</v>
      </c>
      <c r="W907" s="8" t="s">
        <v>3274</v>
      </c>
      <c r="X907" s="6"/>
      <c r="Y907" s="6" t="s">
        <v>30</v>
      </c>
      <c r="Z907" s="6"/>
      <c r="AA907" s="6" t="s">
        <v>47</v>
      </c>
    </row>
    <row r="908" spans="1:27" s="4" customFormat="1" ht="42" customHeight="1">
      <c r="A908" s="5">
        <v>0</v>
      </c>
      <c r="B908" s="6" t="s">
        <v>5677</v>
      </c>
      <c r="C908" s="13">
        <v>1004.9</v>
      </c>
      <c r="D908" s="8" t="s">
        <v>5678</v>
      </c>
      <c r="E908" s="8" t="s">
        <v>5679</v>
      </c>
      <c r="F908" s="8" t="s">
        <v>5680</v>
      </c>
      <c r="G908" s="6" t="s">
        <v>37</v>
      </c>
      <c r="H908" s="6" t="s">
        <v>38</v>
      </c>
      <c r="I908" s="8"/>
      <c r="J908" s="9">
        <v>1</v>
      </c>
      <c r="K908" s="9">
        <v>224</v>
      </c>
      <c r="L908" s="9">
        <v>2023</v>
      </c>
      <c r="M908" s="8" t="s">
        <v>5681</v>
      </c>
      <c r="N908" s="8" t="s">
        <v>56</v>
      </c>
      <c r="O908" s="8" t="s">
        <v>57</v>
      </c>
      <c r="P908" s="6" t="s">
        <v>783</v>
      </c>
      <c r="Q908" s="8" t="s">
        <v>58</v>
      </c>
      <c r="R908" s="10" t="s">
        <v>1211</v>
      </c>
      <c r="S908" s="11"/>
      <c r="T908" s="6"/>
      <c r="U908" s="27" t="str">
        <f>HYPERLINK("https://media.infra-m.ru/2044/2044330/cover/2044330.jpg", "Обложка")</f>
        <v>Обложка</v>
      </c>
      <c r="V908" s="27" t="str">
        <f>HYPERLINK("https://znanium.com/catalog/product/938079", "Ознакомиться")</f>
        <v>Ознакомиться</v>
      </c>
      <c r="W908" s="8" t="s">
        <v>72</v>
      </c>
      <c r="X908" s="6"/>
      <c r="Y908" s="6"/>
      <c r="Z908" s="6"/>
      <c r="AA908" s="6" t="s">
        <v>208</v>
      </c>
    </row>
    <row r="909" spans="1:27" s="4" customFormat="1" ht="42" customHeight="1">
      <c r="A909" s="5">
        <v>0</v>
      </c>
      <c r="B909" s="6" t="s">
        <v>5682</v>
      </c>
      <c r="C909" s="13">
        <v>1790</v>
      </c>
      <c r="D909" s="8" t="s">
        <v>5683</v>
      </c>
      <c r="E909" s="8" t="s">
        <v>5684</v>
      </c>
      <c r="F909" s="8" t="s">
        <v>5685</v>
      </c>
      <c r="G909" s="6" t="s">
        <v>37</v>
      </c>
      <c r="H909" s="6" t="s">
        <v>53</v>
      </c>
      <c r="I909" s="8" t="s">
        <v>54</v>
      </c>
      <c r="J909" s="9">
        <v>1</v>
      </c>
      <c r="K909" s="9">
        <v>376</v>
      </c>
      <c r="L909" s="9">
        <v>2023</v>
      </c>
      <c r="M909" s="8" t="s">
        <v>5686</v>
      </c>
      <c r="N909" s="8" t="s">
        <v>56</v>
      </c>
      <c r="O909" s="8" t="s">
        <v>57</v>
      </c>
      <c r="P909" s="6" t="s">
        <v>69</v>
      </c>
      <c r="Q909" s="8" t="s">
        <v>43</v>
      </c>
      <c r="R909" s="10" t="s">
        <v>5687</v>
      </c>
      <c r="S909" s="11"/>
      <c r="T909" s="6"/>
      <c r="U909" s="27" t="str">
        <f>HYPERLINK("https://media.infra-m.ru/1846/1846124/cover/1846124.jpg", "Обложка")</f>
        <v>Обложка</v>
      </c>
      <c r="V909" s="27" t="str">
        <f>HYPERLINK("https://znanium.com/catalog/product/1846124", "Ознакомиться")</f>
        <v>Ознакомиться</v>
      </c>
      <c r="W909" s="8" t="s">
        <v>4730</v>
      </c>
      <c r="X909" s="6" t="s">
        <v>92</v>
      </c>
      <c r="Y909" s="6"/>
      <c r="Z909" s="6"/>
      <c r="AA909" s="6" t="s">
        <v>440</v>
      </c>
    </row>
    <row r="910" spans="1:27" s="4" customFormat="1" ht="51.95" customHeight="1">
      <c r="A910" s="5">
        <v>0</v>
      </c>
      <c r="B910" s="6" t="s">
        <v>5688</v>
      </c>
      <c r="C910" s="7">
        <v>690</v>
      </c>
      <c r="D910" s="8" t="s">
        <v>5689</v>
      </c>
      <c r="E910" s="8" t="s">
        <v>5690</v>
      </c>
      <c r="F910" s="8" t="s">
        <v>5691</v>
      </c>
      <c r="G910" s="6" t="s">
        <v>67</v>
      </c>
      <c r="H910" s="6" t="s">
        <v>53</v>
      </c>
      <c r="I910" s="8" t="s">
        <v>54</v>
      </c>
      <c r="J910" s="9">
        <v>1</v>
      </c>
      <c r="K910" s="9">
        <v>143</v>
      </c>
      <c r="L910" s="9">
        <v>2024</v>
      </c>
      <c r="M910" s="8" t="s">
        <v>5692</v>
      </c>
      <c r="N910" s="8" t="s">
        <v>56</v>
      </c>
      <c r="O910" s="8" t="s">
        <v>57</v>
      </c>
      <c r="P910" s="6" t="s">
        <v>42</v>
      </c>
      <c r="Q910" s="8" t="s">
        <v>43</v>
      </c>
      <c r="R910" s="10" t="s">
        <v>5693</v>
      </c>
      <c r="S910" s="11" t="s">
        <v>5694</v>
      </c>
      <c r="T910" s="6"/>
      <c r="U910" s="27" t="str">
        <f>HYPERLINK("https://media.infra-m.ru/2053/2053223/cover/2053223.jpg", "Обложка")</f>
        <v>Обложка</v>
      </c>
      <c r="V910" s="27" t="str">
        <f>HYPERLINK("https://znanium.com/catalog/product/2053223", "Ознакомиться")</f>
        <v>Ознакомиться</v>
      </c>
      <c r="W910" s="8" t="s">
        <v>72</v>
      </c>
      <c r="X910" s="6"/>
      <c r="Y910" s="6"/>
      <c r="Z910" s="6"/>
      <c r="AA910" s="6" t="s">
        <v>208</v>
      </c>
    </row>
    <row r="911" spans="1:27" s="4" customFormat="1" ht="51.95" customHeight="1">
      <c r="A911" s="5">
        <v>0</v>
      </c>
      <c r="B911" s="6" t="s">
        <v>5695</v>
      </c>
      <c r="C911" s="13">
        <v>1930</v>
      </c>
      <c r="D911" s="8" t="s">
        <v>5696</v>
      </c>
      <c r="E911" s="8" t="s">
        <v>5697</v>
      </c>
      <c r="F911" s="8" t="s">
        <v>5698</v>
      </c>
      <c r="G911" s="6" t="s">
        <v>37</v>
      </c>
      <c r="H911" s="6" t="s">
        <v>53</v>
      </c>
      <c r="I911" s="8" t="s">
        <v>165</v>
      </c>
      <c r="J911" s="9">
        <v>1</v>
      </c>
      <c r="K911" s="9">
        <v>427</v>
      </c>
      <c r="L911" s="9">
        <v>2023</v>
      </c>
      <c r="M911" s="8" t="s">
        <v>5699</v>
      </c>
      <c r="N911" s="8" t="s">
        <v>56</v>
      </c>
      <c r="O911" s="8" t="s">
        <v>57</v>
      </c>
      <c r="P911" s="6" t="s">
        <v>69</v>
      </c>
      <c r="Q911" s="8" t="s">
        <v>43</v>
      </c>
      <c r="R911" s="10" t="s">
        <v>2262</v>
      </c>
      <c r="S911" s="11" t="s">
        <v>5700</v>
      </c>
      <c r="T911" s="6"/>
      <c r="U911" s="27" t="str">
        <f>HYPERLINK("https://media.infra-m.ru/1939/1939107/cover/1939107.jpg", "Обложка")</f>
        <v>Обложка</v>
      </c>
      <c r="V911" s="27" t="str">
        <f>HYPERLINK("https://znanium.com/catalog/product/1939107", "Ознакомиться")</f>
        <v>Ознакомиться</v>
      </c>
      <c r="W911" s="8" t="s">
        <v>134</v>
      </c>
      <c r="X911" s="6"/>
      <c r="Y911" s="6"/>
      <c r="Z911" s="6"/>
      <c r="AA911" s="6" t="s">
        <v>208</v>
      </c>
    </row>
    <row r="912" spans="1:27" s="4" customFormat="1" ht="51.95" customHeight="1">
      <c r="A912" s="5">
        <v>0</v>
      </c>
      <c r="B912" s="6" t="s">
        <v>5701</v>
      </c>
      <c r="C912" s="13">
        <v>1950</v>
      </c>
      <c r="D912" s="8" t="s">
        <v>5702</v>
      </c>
      <c r="E912" s="8" t="s">
        <v>5703</v>
      </c>
      <c r="F912" s="8" t="s">
        <v>5704</v>
      </c>
      <c r="G912" s="6" t="s">
        <v>67</v>
      </c>
      <c r="H912" s="6" t="s">
        <v>53</v>
      </c>
      <c r="I912" s="8" t="s">
        <v>165</v>
      </c>
      <c r="J912" s="9">
        <v>1</v>
      </c>
      <c r="K912" s="9">
        <v>528</v>
      </c>
      <c r="L912" s="9">
        <v>2021</v>
      </c>
      <c r="M912" s="8" t="s">
        <v>5705</v>
      </c>
      <c r="N912" s="8" t="s">
        <v>56</v>
      </c>
      <c r="O912" s="8" t="s">
        <v>57</v>
      </c>
      <c r="P912" s="6" t="s">
        <v>69</v>
      </c>
      <c r="Q912" s="8" t="s">
        <v>43</v>
      </c>
      <c r="R912" s="10" t="s">
        <v>5706</v>
      </c>
      <c r="S912" s="11" t="s">
        <v>5707</v>
      </c>
      <c r="T912" s="6"/>
      <c r="U912" s="27" t="str">
        <f>HYPERLINK("https://media.infra-m.ru/1359/1359744/cover/1359744.jpg", "Обложка")</f>
        <v>Обложка</v>
      </c>
      <c r="V912" s="27" t="str">
        <f>HYPERLINK("https://znanium.com/catalog/product/1439631", "Ознакомиться")</f>
        <v>Ознакомиться</v>
      </c>
      <c r="W912" s="8" t="s">
        <v>1286</v>
      </c>
      <c r="X912" s="6"/>
      <c r="Y912" s="6"/>
      <c r="Z912" s="6"/>
      <c r="AA912" s="6" t="s">
        <v>1306</v>
      </c>
    </row>
    <row r="913" spans="1:27" s="4" customFormat="1" ht="51.95" customHeight="1">
      <c r="A913" s="5">
        <v>0</v>
      </c>
      <c r="B913" s="6" t="s">
        <v>5708</v>
      </c>
      <c r="C913" s="13">
        <v>2200</v>
      </c>
      <c r="D913" s="8" t="s">
        <v>5709</v>
      </c>
      <c r="E913" s="8" t="s">
        <v>5710</v>
      </c>
      <c r="F913" s="8" t="s">
        <v>5711</v>
      </c>
      <c r="G913" s="6" t="s">
        <v>67</v>
      </c>
      <c r="H913" s="6" t="s">
        <v>53</v>
      </c>
      <c r="I913" s="8" t="s">
        <v>165</v>
      </c>
      <c r="J913" s="9">
        <v>1</v>
      </c>
      <c r="K913" s="9">
        <v>578</v>
      </c>
      <c r="L913" s="9">
        <v>2022</v>
      </c>
      <c r="M913" s="8" t="s">
        <v>5712</v>
      </c>
      <c r="N913" s="8" t="s">
        <v>56</v>
      </c>
      <c r="O913" s="8" t="s">
        <v>57</v>
      </c>
      <c r="P913" s="6" t="s">
        <v>69</v>
      </c>
      <c r="Q913" s="8" t="s">
        <v>43</v>
      </c>
      <c r="R913" s="10" t="s">
        <v>5706</v>
      </c>
      <c r="S913" s="11" t="s">
        <v>5707</v>
      </c>
      <c r="T913" s="6"/>
      <c r="U913" s="27" t="str">
        <f>HYPERLINK("https://media.infra-m.ru/1439/1439631/cover/1439631.jpg", "Обложка")</f>
        <v>Обложка</v>
      </c>
      <c r="V913" s="27" t="str">
        <f>HYPERLINK("https://znanium.com/catalog/product/1439631", "Ознакомиться")</f>
        <v>Ознакомиться</v>
      </c>
      <c r="W913" s="8" t="s">
        <v>1286</v>
      </c>
      <c r="X913" s="6"/>
      <c r="Y913" s="6"/>
      <c r="Z913" s="6"/>
      <c r="AA913" s="6" t="s">
        <v>425</v>
      </c>
    </row>
    <row r="914" spans="1:27" s="4" customFormat="1" ht="51.95" customHeight="1">
      <c r="A914" s="5">
        <v>0</v>
      </c>
      <c r="B914" s="6" t="s">
        <v>5713</v>
      </c>
      <c r="C914" s="13">
        <v>1480</v>
      </c>
      <c r="D914" s="8" t="s">
        <v>5714</v>
      </c>
      <c r="E914" s="8" t="s">
        <v>5715</v>
      </c>
      <c r="F914" s="8" t="s">
        <v>605</v>
      </c>
      <c r="G914" s="6" t="s">
        <v>67</v>
      </c>
      <c r="H914" s="6" t="s">
        <v>53</v>
      </c>
      <c r="I914" s="8" t="s">
        <v>54</v>
      </c>
      <c r="J914" s="9">
        <v>1</v>
      </c>
      <c r="K914" s="9">
        <v>320</v>
      </c>
      <c r="L914" s="9">
        <v>2024</v>
      </c>
      <c r="M914" s="8" t="s">
        <v>5716</v>
      </c>
      <c r="N914" s="8" t="s">
        <v>56</v>
      </c>
      <c r="O914" s="8" t="s">
        <v>57</v>
      </c>
      <c r="P914" s="6" t="s">
        <v>42</v>
      </c>
      <c r="Q914" s="8" t="s">
        <v>43</v>
      </c>
      <c r="R914" s="10" t="s">
        <v>5717</v>
      </c>
      <c r="S914" s="11" t="s">
        <v>5718</v>
      </c>
      <c r="T914" s="6"/>
      <c r="U914" s="27" t="str">
        <f>HYPERLINK("https://media.infra-m.ru/2103/2103130/cover/2103130.jpg", "Обложка")</f>
        <v>Обложка</v>
      </c>
      <c r="V914" s="27" t="str">
        <f>HYPERLINK("https://znanium.com/catalog/product/2103130", "Ознакомиться")</f>
        <v>Ознакомиться</v>
      </c>
      <c r="W914" s="8" t="s">
        <v>216</v>
      </c>
      <c r="X914" s="6"/>
      <c r="Y914" s="6"/>
      <c r="Z914" s="6"/>
      <c r="AA914" s="6" t="s">
        <v>208</v>
      </c>
    </row>
    <row r="915" spans="1:27" s="4" customFormat="1" ht="42" customHeight="1">
      <c r="A915" s="5">
        <v>0</v>
      </c>
      <c r="B915" s="6" t="s">
        <v>5719</v>
      </c>
      <c r="C915" s="7">
        <v>514</v>
      </c>
      <c r="D915" s="8" t="s">
        <v>5720</v>
      </c>
      <c r="E915" s="8" t="s">
        <v>5721</v>
      </c>
      <c r="F915" s="8" t="s">
        <v>5722</v>
      </c>
      <c r="G915" s="6" t="s">
        <v>52</v>
      </c>
      <c r="H915" s="6" t="s">
        <v>53</v>
      </c>
      <c r="I915" s="8" t="s">
        <v>114</v>
      </c>
      <c r="J915" s="9">
        <v>1</v>
      </c>
      <c r="K915" s="9">
        <v>111</v>
      </c>
      <c r="L915" s="9">
        <v>2023</v>
      </c>
      <c r="M915" s="8" t="s">
        <v>5723</v>
      </c>
      <c r="N915" s="8" t="s">
        <v>56</v>
      </c>
      <c r="O915" s="8" t="s">
        <v>57</v>
      </c>
      <c r="P915" s="6" t="s">
        <v>116</v>
      </c>
      <c r="Q915" s="8" t="s">
        <v>81</v>
      </c>
      <c r="R915" s="10" t="s">
        <v>132</v>
      </c>
      <c r="S915" s="11"/>
      <c r="T915" s="6"/>
      <c r="U915" s="27" t="str">
        <f>HYPERLINK("https://media.infra-m.ru/2083/2083911/cover/2083911.jpg", "Обложка")</f>
        <v>Обложка</v>
      </c>
      <c r="V915" s="27" t="str">
        <f>HYPERLINK("https://znanium.com/catalog/product/1362283", "Ознакомиться")</f>
        <v>Ознакомиться</v>
      </c>
      <c r="W915" s="8" t="s">
        <v>4223</v>
      </c>
      <c r="X915" s="6"/>
      <c r="Y915" s="6"/>
      <c r="Z915" s="6"/>
      <c r="AA915" s="6" t="s">
        <v>62</v>
      </c>
    </row>
    <row r="916" spans="1:27" s="4" customFormat="1" ht="51.95" customHeight="1">
      <c r="A916" s="5">
        <v>0</v>
      </c>
      <c r="B916" s="6" t="s">
        <v>5724</v>
      </c>
      <c r="C916" s="13">
        <v>1190</v>
      </c>
      <c r="D916" s="8" t="s">
        <v>5725</v>
      </c>
      <c r="E916" s="8" t="s">
        <v>5726</v>
      </c>
      <c r="F916" s="8" t="s">
        <v>5727</v>
      </c>
      <c r="G916" s="6" t="s">
        <v>67</v>
      </c>
      <c r="H916" s="6" t="s">
        <v>53</v>
      </c>
      <c r="I916" s="8" t="s">
        <v>114</v>
      </c>
      <c r="J916" s="9">
        <v>1</v>
      </c>
      <c r="K916" s="9">
        <v>259</v>
      </c>
      <c r="L916" s="9">
        <v>2024</v>
      </c>
      <c r="M916" s="8" t="s">
        <v>5728</v>
      </c>
      <c r="N916" s="8" t="s">
        <v>56</v>
      </c>
      <c r="O916" s="8" t="s">
        <v>57</v>
      </c>
      <c r="P916" s="6" t="s">
        <v>116</v>
      </c>
      <c r="Q916" s="8" t="s">
        <v>81</v>
      </c>
      <c r="R916" s="10" t="s">
        <v>5729</v>
      </c>
      <c r="S916" s="11"/>
      <c r="T916" s="6"/>
      <c r="U916" s="27" t="str">
        <f>HYPERLINK("https://media.infra-m.ru/2067/2067398/cover/2067398.jpg", "Обложка")</f>
        <v>Обложка</v>
      </c>
      <c r="V916" s="27" t="str">
        <f>HYPERLINK("https://znanium.com/catalog/product/2067398", "Ознакомиться")</f>
        <v>Ознакомиться</v>
      </c>
      <c r="W916" s="8" t="s">
        <v>72</v>
      </c>
      <c r="X916" s="6"/>
      <c r="Y916" s="6"/>
      <c r="Z916" s="6"/>
      <c r="AA916" s="6" t="s">
        <v>510</v>
      </c>
    </row>
    <row r="917" spans="1:27" s="4" customFormat="1" ht="42" customHeight="1">
      <c r="A917" s="5">
        <v>0</v>
      </c>
      <c r="B917" s="6" t="s">
        <v>5730</v>
      </c>
      <c r="C917" s="7">
        <v>720</v>
      </c>
      <c r="D917" s="8" t="s">
        <v>5731</v>
      </c>
      <c r="E917" s="8" t="s">
        <v>5732</v>
      </c>
      <c r="F917" s="8" t="s">
        <v>5733</v>
      </c>
      <c r="G917" s="6" t="s">
        <v>52</v>
      </c>
      <c r="H917" s="6" t="s">
        <v>53</v>
      </c>
      <c r="I917" s="8" t="s">
        <v>114</v>
      </c>
      <c r="J917" s="9">
        <v>1</v>
      </c>
      <c r="K917" s="9">
        <v>152</v>
      </c>
      <c r="L917" s="9">
        <v>2024</v>
      </c>
      <c r="M917" s="8" t="s">
        <v>5734</v>
      </c>
      <c r="N917" s="8" t="s">
        <v>56</v>
      </c>
      <c r="O917" s="8" t="s">
        <v>57</v>
      </c>
      <c r="P917" s="6" t="s">
        <v>116</v>
      </c>
      <c r="Q917" s="8" t="s">
        <v>81</v>
      </c>
      <c r="R917" s="10" t="s">
        <v>2923</v>
      </c>
      <c r="S917" s="11"/>
      <c r="T917" s="6"/>
      <c r="U917" s="27" t="str">
        <f>HYPERLINK("https://media.infra-m.ru/2076/2076017/cover/2076017.jpg", "Обложка")</f>
        <v>Обложка</v>
      </c>
      <c r="V917" s="27" t="str">
        <f>HYPERLINK("https://znanium.com/catalog/product/2076017", "Ознакомиться")</f>
        <v>Ознакомиться</v>
      </c>
      <c r="W917" s="8" t="s">
        <v>287</v>
      </c>
      <c r="X917" s="6"/>
      <c r="Y917" s="6"/>
      <c r="Z917" s="6"/>
      <c r="AA917" s="6" t="s">
        <v>795</v>
      </c>
    </row>
    <row r="918" spans="1:27" s="4" customFormat="1" ht="44.1" customHeight="1">
      <c r="A918" s="5">
        <v>0</v>
      </c>
      <c r="B918" s="6" t="s">
        <v>5735</v>
      </c>
      <c r="C918" s="13">
        <v>1249.9000000000001</v>
      </c>
      <c r="D918" s="8" t="s">
        <v>5736</v>
      </c>
      <c r="E918" s="8" t="s">
        <v>5737</v>
      </c>
      <c r="F918" s="8" t="s">
        <v>5738</v>
      </c>
      <c r="G918" s="6" t="s">
        <v>37</v>
      </c>
      <c r="H918" s="6" t="s">
        <v>53</v>
      </c>
      <c r="I918" s="8" t="s">
        <v>114</v>
      </c>
      <c r="J918" s="9">
        <v>1</v>
      </c>
      <c r="K918" s="9">
        <v>450</v>
      </c>
      <c r="L918" s="9">
        <v>2020</v>
      </c>
      <c r="M918" s="8" t="s">
        <v>5739</v>
      </c>
      <c r="N918" s="8" t="s">
        <v>56</v>
      </c>
      <c r="O918" s="8" t="s">
        <v>57</v>
      </c>
      <c r="P918" s="6" t="s">
        <v>116</v>
      </c>
      <c r="Q918" s="8" t="s">
        <v>81</v>
      </c>
      <c r="R918" s="10" t="s">
        <v>3962</v>
      </c>
      <c r="S918" s="11"/>
      <c r="T918" s="6"/>
      <c r="U918" s="27" t="str">
        <f>HYPERLINK("https://media.infra-m.ru/1087/1087996/cover/1087996.jpg", "Обложка")</f>
        <v>Обложка</v>
      </c>
      <c r="V918" s="27" t="str">
        <f>HYPERLINK("https://znanium.com/catalog/product/1087996", "Ознакомиться")</f>
        <v>Ознакомиться</v>
      </c>
      <c r="W918" s="8" t="s">
        <v>625</v>
      </c>
      <c r="X918" s="6"/>
      <c r="Y918" s="6"/>
      <c r="Z918" s="6"/>
      <c r="AA918" s="6" t="s">
        <v>601</v>
      </c>
    </row>
    <row r="919" spans="1:27" s="4" customFormat="1" ht="44.1" customHeight="1">
      <c r="A919" s="5">
        <v>0</v>
      </c>
      <c r="B919" s="6" t="s">
        <v>5740</v>
      </c>
      <c r="C919" s="7">
        <v>840</v>
      </c>
      <c r="D919" s="8" t="s">
        <v>5741</v>
      </c>
      <c r="E919" s="8" t="s">
        <v>5742</v>
      </c>
      <c r="F919" s="8" t="s">
        <v>5743</v>
      </c>
      <c r="G919" s="6" t="s">
        <v>52</v>
      </c>
      <c r="H919" s="6" t="s">
        <v>53</v>
      </c>
      <c r="I919" s="8" t="s">
        <v>3283</v>
      </c>
      <c r="J919" s="9">
        <v>1</v>
      </c>
      <c r="K919" s="9">
        <v>221</v>
      </c>
      <c r="L919" s="9">
        <v>2022</v>
      </c>
      <c r="M919" s="8" t="s">
        <v>5744</v>
      </c>
      <c r="N919" s="8" t="s">
        <v>56</v>
      </c>
      <c r="O919" s="8" t="s">
        <v>57</v>
      </c>
      <c r="P919" s="6" t="s">
        <v>116</v>
      </c>
      <c r="Q919" s="8" t="s">
        <v>81</v>
      </c>
      <c r="R919" s="10" t="s">
        <v>1239</v>
      </c>
      <c r="S919" s="11"/>
      <c r="T919" s="6"/>
      <c r="U919" s="27" t="str">
        <f>HYPERLINK("https://media.infra-m.ru/1681/1681997/cover/1681997.jpg", "Обложка")</f>
        <v>Обложка</v>
      </c>
      <c r="V919" s="27" t="str">
        <f>HYPERLINK("https://znanium.com/catalog/product/1681997", "Ознакомиться")</f>
        <v>Ознакомиться</v>
      </c>
      <c r="W919" s="8" t="s">
        <v>46</v>
      </c>
      <c r="X919" s="6"/>
      <c r="Y919" s="6"/>
      <c r="Z919" s="6"/>
      <c r="AA919" s="6" t="s">
        <v>73</v>
      </c>
    </row>
    <row r="920" spans="1:27" s="4" customFormat="1" ht="51.95" customHeight="1">
      <c r="A920" s="5">
        <v>0</v>
      </c>
      <c r="B920" s="6" t="s">
        <v>5745</v>
      </c>
      <c r="C920" s="7">
        <v>500</v>
      </c>
      <c r="D920" s="8" t="s">
        <v>5746</v>
      </c>
      <c r="E920" s="8" t="s">
        <v>5747</v>
      </c>
      <c r="F920" s="8" t="s">
        <v>5748</v>
      </c>
      <c r="G920" s="6" t="s">
        <v>52</v>
      </c>
      <c r="H920" s="6" t="s">
        <v>98</v>
      </c>
      <c r="I920" s="8" t="s">
        <v>54</v>
      </c>
      <c r="J920" s="9">
        <v>1</v>
      </c>
      <c r="K920" s="9">
        <v>126</v>
      </c>
      <c r="L920" s="9">
        <v>2022</v>
      </c>
      <c r="M920" s="8" t="s">
        <v>5749</v>
      </c>
      <c r="N920" s="8" t="s">
        <v>56</v>
      </c>
      <c r="O920" s="8" t="s">
        <v>57</v>
      </c>
      <c r="P920" s="6" t="s">
        <v>42</v>
      </c>
      <c r="Q920" s="8" t="s">
        <v>43</v>
      </c>
      <c r="R920" s="10" t="s">
        <v>3555</v>
      </c>
      <c r="S920" s="11"/>
      <c r="T920" s="6"/>
      <c r="U920" s="27" t="str">
        <f>HYPERLINK("https://media.infra-m.ru/1866/1866323/cover/1866323.jpg", "Обложка")</f>
        <v>Обложка</v>
      </c>
      <c r="V920" s="12"/>
      <c r="W920" s="8" t="s">
        <v>2148</v>
      </c>
      <c r="X920" s="6"/>
      <c r="Y920" s="6"/>
      <c r="Z920" s="6"/>
      <c r="AA920" s="6" t="s">
        <v>496</v>
      </c>
    </row>
    <row r="921" spans="1:27" s="4" customFormat="1" ht="51.95" customHeight="1">
      <c r="A921" s="5">
        <v>0</v>
      </c>
      <c r="B921" s="6" t="s">
        <v>5750</v>
      </c>
      <c r="C921" s="7">
        <v>334.9</v>
      </c>
      <c r="D921" s="8" t="s">
        <v>5751</v>
      </c>
      <c r="E921" s="8" t="s">
        <v>5752</v>
      </c>
      <c r="F921" s="8" t="s">
        <v>5753</v>
      </c>
      <c r="G921" s="6" t="s">
        <v>52</v>
      </c>
      <c r="H921" s="6" t="s">
        <v>98</v>
      </c>
      <c r="I921" s="8" t="s">
        <v>478</v>
      </c>
      <c r="J921" s="9">
        <v>1</v>
      </c>
      <c r="K921" s="9">
        <v>108</v>
      </c>
      <c r="L921" s="9">
        <v>2017</v>
      </c>
      <c r="M921" s="8" t="s">
        <v>5754</v>
      </c>
      <c r="N921" s="8" t="s">
        <v>56</v>
      </c>
      <c r="O921" s="8" t="s">
        <v>57</v>
      </c>
      <c r="P921" s="6" t="s">
        <v>116</v>
      </c>
      <c r="Q921" s="8" t="s">
        <v>81</v>
      </c>
      <c r="R921" s="10" t="s">
        <v>3555</v>
      </c>
      <c r="S921" s="11"/>
      <c r="T921" s="6"/>
      <c r="U921" s="27" t="str">
        <f>HYPERLINK("https://media.infra-m.ru/0567/0567240/cover/567240.jpg", "Обложка")</f>
        <v>Обложка</v>
      </c>
      <c r="V921" s="12"/>
      <c r="W921" s="8"/>
      <c r="X921" s="6"/>
      <c r="Y921" s="6"/>
      <c r="Z921" s="6"/>
      <c r="AA921" s="6" t="s">
        <v>47</v>
      </c>
    </row>
    <row r="922" spans="1:27" s="4" customFormat="1" ht="51.95" customHeight="1">
      <c r="A922" s="5">
        <v>0</v>
      </c>
      <c r="B922" s="6" t="s">
        <v>5755</v>
      </c>
      <c r="C922" s="13">
        <v>1760</v>
      </c>
      <c r="D922" s="8" t="s">
        <v>5756</v>
      </c>
      <c r="E922" s="8" t="s">
        <v>5757</v>
      </c>
      <c r="F922" s="8" t="s">
        <v>2973</v>
      </c>
      <c r="G922" s="6" t="s">
        <v>67</v>
      </c>
      <c r="H922" s="6" t="s">
        <v>53</v>
      </c>
      <c r="I922" s="8" t="s">
        <v>148</v>
      </c>
      <c r="J922" s="9">
        <v>1</v>
      </c>
      <c r="K922" s="9">
        <v>388</v>
      </c>
      <c r="L922" s="9">
        <v>2023</v>
      </c>
      <c r="M922" s="8" t="s">
        <v>5758</v>
      </c>
      <c r="N922" s="8" t="s">
        <v>56</v>
      </c>
      <c r="O922" s="8" t="s">
        <v>57</v>
      </c>
      <c r="P922" s="6" t="s">
        <v>42</v>
      </c>
      <c r="Q922" s="8" t="s">
        <v>150</v>
      </c>
      <c r="R922" s="10" t="s">
        <v>1245</v>
      </c>
      <c r="S922" s="11" t="s">
        <v>5759</v>
      </c>
      <c r="T922" s="6"/>
      <c r="U922" s="27" t="str">
        <f>HYPERLINK("https://media.infra-m.ru/2001/2001731/cover/2001731.jpg", "Обложка")</f>
        <v>Обложка</v>
      </c>
      <c r="V922" s="27" t="str">
        <f>HYPERLINK("https://znanium.com/catalog/product/2001731", "Ознакомиться")</f>
        <v>Ознакомиться</v>
      </c>
      <c r="W922" s="8"/>
      <c r="X922" s="6"/>
      <c r="Y922" s="6"/>
      <c r="Z922" s="6"/>
      <c r="AA922" s="6" t="s">
        <v>73</v>
      </c>
    </row>
    <row r="923" spans="1:27" s="14" customFormat="1" ht="21.95" customHeight="1"/>
    <row r="924" spans="1:27" ht="15.95" customHeight="1">
      <c r="A924" s="24" t="s">
        <v>23</v>
      </c>
      <c r="B924" s="24"/>
    </row>
    <row r="925" spans="1:27" s="15" customFormat="1" ht="12.95" customHeight="1"/>
    <row r="926" spans="1:27" s="15" customFormat="1" ht="12.95" customHeight="1">
      <c r="A926" s="25" t="s">
        <v>5760</v>
      </c>
      <c r="B926" s="25"/>
      <c r="C926" s="25" t="s">
        <v>5761</v>
      </c>
      <c r="D926" s="25"/>
      <c r="E926" s="25"/>
    </row>
    <row r="927" spans="1:27" s="15" customFormat="1" ht="12.95" customHeight="1">
      <c r="A927" s="25" t="s">
        <v>5762</v>
      </c>
      <c r="B927" s="25"/>
      <c r="C927" s="25" t="s">
        <v>5763</v>
      </c>
      <c r="D927" s="25"/>
      <c r="E927" s="25"/>
    </row>
    <row r="928" spans="1:27" s="15" customFormat="1" ht="12.95" customHeight="1">
      <c r="A928" s="25" t="s">
        <v>5764</v>
      </c>
      <c r="B928" s="25"/>
      <c r="C928" s="25" t="s">
        <v>5765</v>
      </c>
      <c r="D928" s="25"/>
      <c r="E928" s="25"/>
    </row>
    <row r="929" spans="1:5" s="15" customFormat="1" ht="12.95" customHeight="1">
      <c r="A929" s="25" t="s">
        <v>5766</v>
      </c>
      <c r="B929" s="25"/>
      <c r="C929" s="25" t="s">
        <v>5765</v>
      </c>
      <c r="D929" s="25"/>
      <c r="E929" s="25"/>
    </row>
    <row r="930" spans="1:5" s="15" customFormat="1" ht="12.95" customHeight="1">
      <c r="A930" s="25" t="s">
        <v>5767</v>
      </c>
      <c r="B930" s="25"/>
      <c r="C930" s="25" t="s">
        <v>5763</v>
      </c>
      <c r="D930" s="25"/>
      <c r="E930" s="25"/>
    </row>
    <row r="931" spans="1:5" s="15" customFormat="1" ht="12.95" customHeight="1">
      <c r="A931" s="25" t="s">
        <v>5768</v>
      </c>
      <c r="B931" s="25"/>
      <c r="C931" s="25" t="s">
        <v>5765</v>
      </c>
      <c r="D931" s="25"/>
      <c r="E931" s="25"/>
    </row>
    <row r="932" spans="1:5" s="15" customFormat="1" ht="12.95" customHeight="1">
      <c r="A932" s="25" t="s">
        <v>5769</v>
      </c>
      <c r="B932" s="25"/>
      <c r="C932" s="25" t="s">
        <v>5770</v>
      </c>
      <c r="D932" s="25"/>
      <c r="E932" s="25"/>
    </row>
    <row r="933" spans="1:5" s="15" customFormat="1" ht="12.95" customHeight="1">
      <c r="A933" s="25" t="s">
        <v>5771</v>
      </c>
      <c r="B933" s="25"/>
      <c r="C933" s="25" t="s">
        <v>5772</v>
      </c>
      <c r="D933" s="25"/>
      <c r="E933" s="25"/>
    </row>
    <row r="934" spans="1:5" s="15" customFormat="1" ht="12.95" customHeight="1">
      <c r="A934" s="25" t="s">
        <v>5773</v>
      </c>
      <c r="B934" s="25"/>
      <c r="C934" s="25" t="s">
        <v>5774</v>
      </c>
      <c r="D934" s="25"/>
      <c r="E934" s="25"/>
    </row>
    <row r="935" spans="1:5" s="15" customFormat="1" ht="12.95" customHeight="1">
      <c r="A935" s="25" t="s">
        <v>5775</v>
      </c>
      <c r="B935" s="25"/>
      <c r="C935" s="25" t="s">
        <v>5776</v>
      </c>
      <c r="D935" s="25"/>
      <c r="E935" s="25"/>
    </row>
    <row r="936" spans="1:5" s="15" customFormat="1" ht="12.95" customHeight="1">
      <c r="A936" s="25" t="s">
        <v>5777</v>
      </c>
      <c r="B936" s="25"/>
      <c r="C936" s="25" t="s">
        <v>5778</v>
      </c>
      <c r="D936" s="25"/>
      <c r="E936" s="25"/>
    </row>
    <row r="937" spans="1:5" s="15" customFormat="1" ht="12.95" customHeight="1">
      <c r="A937" s="25" t="s">
        <v>5779</v>
      </c>
      <c r="B937" s="25"/>
      <c r="C937" s="25" t="s">
        <v>5780</v>
      </c>
      <c r="D937" s="25"/>
      <c r="E937" s="25"/>
    </row>
    <row r="938" spans="1:5" s="15" customFormat="1" ht="12.95" customHeight="1">
      <c r="A938" s="25" t="s">
        <v>3663</v>
      </c>
      <c r="B938" s="25"/>
      <c r="C938" s="25" t="s">
        <v>5774</v>
      </c>
      <c r="D938" s="25"/>
      <c r="E938" s="25"/>
    </row>
    <row r="939" spans="1:5" s="15" customFormat="1" ht="12.95" customHeight="1">
      <c r="A939" s="25" t="s">
        <v>5781</v>
      </c>
      <c r="B939" s="25"/>
      <c r="C939" s="25" t="s">
        <v>5776</v>
      </c>
      <c r="D939" s="25"/>
      <c r="E939" s="25"/>
    </row>
    <row r="940" spans="1:5" s="15" customFormat="1" ht="12.95" customHeight="1">
      <c r="A940" s="25" t="s">
        <v>5782</v>
      </c>
      <c r="B940" s="25"/>
      <c r="C940" s="25" t="s">
        <v>5778</v>
      </c>
      <c r="D940" s="25"/>
      <c r="E940" s="25"/>
    </row>
    <row r="941" spans="1:5" s="15" customFormat="1" ht="12.95" customHeight="1">
      <c r="A941" s="25" t="s">
        <v>5783</v>
      </c>
      <c r="B941" s="25"/>
      <c r="C941" s="25" t="s">
        <v>5784</v>
      </c>
      <c r="D941" s="25"/>
      <c r="E941" s="25"/>
    </row>
    <row r="942" spans="1:5" s="15" customFormat="1" ht="12.95" customHeight="1">
      <c r="A942" s="25" t="s">
        <v>5785</v>
      </c>
      <c r="B942" s="25"/>
      <c r="C942" s="25" t="s">
        <v>5786</v>
      </c>
      <c r="D942" s="25"/>
      <c r="E942" s="25"/>
    </row>
    <row r="943" spans="1:5" s="15" customFormat="1" ht="12.95" customHeight="1">
      <c r="A943" s="25" t="s">
        <v>5787</v>
      </c>
      <c r="B943" s="25"/>
      <c r="C943" s="25" t="s">
        <v>5788</v>
      </c>
      <c r="D943" s="25"/>
      <c r="E943" s="25"/>
    </row>
    <row r="944" spans="1:5" s="15" customFormat="1" ht="12.95" customHeight="1">
      <c r="A944" s="25" t="s">
        <v>5789</v>
      </c>
      <c r="B944" s="25"/>
      <c r="C944" s="25" t="s">
        <v>5790</v>
      </c>
      <c r="D944" s="25"/>
      <c r="E944" s="25"/>
    </row>
    <row r="945" spans="1:5" s="15" customFormat="1" ht="12.95" customHeight="1">
      <c r="A945" s="25" t="s">
        <v>5791</v>
      </c>
      <c r="B945" s="25"/>
      <c r="C945" s="25" t="s">
        <v>5776</v>
      </c>
      <c r="D945" s="25"/>
      <c r="E945" s="25"/>
    </row>
    <row r="946" spans="1:5" s="15" customFormat="1" ht="12.95" customHeight="1">
      <c r="A946" s="25" t="s">
        <v>5792</v>
      </c>
      <c r="B946" s="25"/>
      <c r="C946" s="25" t="s">
        <v>5788</v>
      </c>
      <c r="D946" s="25"/>
      <c r="E946" s="25"/>
    </row>
    <row r="947" spans="1:5" s="15" customFormat="1" ht="12.95" customHeight="1">
      <c r="A947" s="25" t="s">
        <v>5793</v>
      </c>
      <c r="B947" s="25"/>
      <c r="C947" s="25" t="s">
        <v>5790</v>
      </c>
      <c r="D947" s="25"/>
      <c r="E947" s="25"/>
    </row>
    <row r="948" spans="1:5" s="15" customFormat="1" ht="12.95" customHeight="1">
      <c r="A948" s="25" t="s">
        <v>5794</v>
      </c>
      <c r="B948" s="25"/>
      <c r="C948" s="25" t="s">
        <v>5795</v>
      </c>
      <c r="D948" s="25"/>
      <c r="E948" s="25"/>
    </row>
    <row r="949" spans="1:5" s="15" customFormat="1" ht="12.95" customHeight="1">
      <c r="A949" s="25" t="s">
        <v>5796</v>
      </c>
      <c r="B949" s="25"/>
      <c r="C949" s="25" t="s">
        <v>5797</v>
      </c>
      <c r="D949" s="25"/>
      <c r="E949" s="25"/>
    </row>
    <row r="950" spans="1:5" s="15" customFormat="1" ht="12.95" customHeight="1">
      <c r="A950" s="25" t="s">
        <v>5798</v>
      </c>
      <c r="B950" s="25"/>
      <c r="C950" s="25" t="s">
        <v>5774</v>
      </c>
      <c r="D950" s="25"/>
      <c r="E950" s="25"/>
    </row>
    <row r="951" spans="1:5" s="15" customFormat="1" ht="12.95" customHeight="1">
      <c r="A951" s="25" t="s">
        <v>5799</v>
      </c>
      <c r="B951" s="25"/>
      <c r="C951" s="25" t="s">
        <v>5800</v>
      </c>
      <c r="D951" s="25"/>
      <c r="E951" s="25"/>
    </row>
    <row r="952" spans="1:5" s="15" customFormat="1" ht="12.95" customHeight="1">
      <c r="A952" s="25" t="s">
        <v>5801</v>
      </c>
      <c r="B952" s="25"/>
      <c r="C952" s="25" t="s">
        <v>5802</v>
      </c>
      <c r="D952" s="25"/>
      <c r="E952" s="25"/>
    </row>
    <row r="953" spans="1:5" s="15" customFormat="1" ht="12.95" customHeight="1">
      <c r="A953" s="25" t="s">
        <v>5803</v>
      </c>
      <c r="B953" s="25"/>
      <c r="C953" s="25" t="s">
        <v>5804</v>
      </c>
      <c r="D953" s="25"/>
      <c r="E953" s="25"/>
    </row>
    <row r="954" spans="1:5" s="15" customFormat="1" ht="12.95" customHeight="1">
      <c r="A954" s="25" t="s">
        <v>5805</v>
      </c>
      <c r="B954" s="25"/>
      <c r="C954" s="25" t="s">
        <v>5806</v>
      </c>
      <c r="D954" s="25"/>
      <c r="E954" s="25"/>
    </row>
    <row r="955" spans="1:5" s="15" customFormat="1" ht="12.95" customHeight="1">
      <c r="A955" s="25" t="s">
        <v>5807</v>
      </c>
      <c r="B955" s="25"/>
      <c r="C955" s="25" t="s">
        <v>5808</v>
      </c>
      <c r="D955" s="25"/>
      <c r="E955" s="25"/>
    </row>
    <row r="956" spans="1:5" s="15" customFormat="1" ht="12.95" customHeight="1">
      <c r="A956" s="25" t="s">
        <v>5809</v>
      </c>
      <c r="B956" s="25"/>
      <c r="C956" s="25" t="s">
        <v>5810</v>
      </c>
      <c r="D956" s="25"/>
      <c r="E956" s="25"/>
    </row>
    <row r="957" spans="1:5" s="15" customFormat="1" ht="12.95" customHeight="1">
      <c r="A957" s="25" t="s">
        <v>5811</v>
      </c>
      <c r="B957" s="25"/>
      <c r="C957" s="25" t="s">
        <v>5812</v>
      </c>
      <c r="D957" s="25"/>
      <c r="E957" s="25"/>
    </row>
    <row r="958" spans="1:5" s="15" customFormat="1" ht="12.95" customHeight="1">
      <c r="A958" s="25" t="s">
        <v>5813</v>
      </c>
      <c r="B958" s="25"/>
      <c r="C958" s="25" t="s">
        <v>5810</v>
      </c>
      <c r="D958" s="25"/>
      <c r="E958" s="25"/>
    </row>
    <row r="959" spans="1:5" s="15" customFormat="1" ht="12.95" customHeight="1">
      <c r="A959" s="25" t="s">
        <v>5814</v>
      </c>
      <c r="B959" s="25"/>
      <c r="C959" s="25" t="s">
        <v>5815</v>
      </c>
      <c r="D959" s="25"/>
      <c r="E959" s="25"/>
    </row>
    <row r="960" spans="1:5" s="15" customFormat="1" ht="12.95" customHeight="1">
      <c r="A960" s="25" t="s">
        <v>5816</v>
      </c>
      <c r="B960" s="25"/>
      <c r="C960" s="25" t="s">
        <v>5815</v>
      </c>
      <c r="D960" s="25"/>
      <c r="E960" s="25"/>
    </row>
    <row r="961" spans="1:5" s="15" customFormat="1" ht="12.95" customHeight="1">
      <c r="A961" s="25" t="s">
        <v>5817</v>
      </c>
      <c r="B961" s="25"/>
      <c r="C961" s="25" t="s">
        <v>5818</v>
      </c>
      <c r="D961" s="25"/>
      <c r="E961" s="25"/>
    </row>
    <row r="962" spans="1:5" s="15" customFormat="1" ht="12.95" customHeight="1">
      <c r="A962" s="25" t="s">
        <v>5819</v>
      </c>
      <c r="B962" s="25"/>
      <c r="C962" s="25" t="s">
        <v>5820</v>
      </c>
      <c r="D962" s="25"/>
      <c r="E962" s="25"/>
    </row>
    <row r="963" spans="1:5" s="15" customFormat="1" ht="12.95" customHeight="1">
      <c r="A963" s="25" t="s">
        <v>5821</v>
      </c>
      <c r="B963" s="25"/>
      <c r="C963" s="25" t="s">
        <v>5822</v>
      </c>
      <c r="D963" s="25"/>
      <c r="E963" s="25"/>
    </row>
    <row r="964" spans="1:5" s="15" customFormat="1" ht="12.95" customHeight="1">
      <c r="A964" s="25" t="s">
        <v>5823</v>
      </c>
      <c r="B964" s="25"/>
      <c r="C964" s="25" t="s">
        <v>5824</v>
      </c>
      <c r="D964" s="25"/>
      <c r="E964" s="25"/>
    </row>
    <row r="965" spans="1:5" s="15" customFormat="1" ht="12.95" customHeight="1">
      <c r="A965" s="25" t="s">
        <v>5825</v>
      </c>
      <c r="B965" s="25"/>
      <c r="C965" s="25" t="s">
        <v>5826</v>
      </c>
      <c r="D965" s="25"/>
      <c r="E965" s="25"/>
    </row>
    <row r="966" spans="1:5" s="15" customFormat="1" ht="12.95" customHeight="1">
      <c r="A966" s="25" t="s">
        <v>5827</v>
      </c>
      <c r="B966" s="25"/>
      <c r="C966" s="25" t="s">
        <v>5820</v>
      </c>
      <c r="D966" s="25"/>
      <c r="E966" s="25"/>
    </row>
    <row r="967" spans="1:5" s="15" customFormat="1" ht="12.95" customHeight="1">
      <c r="A967" s="25" t="s">
        <v>5828</v>
      </c>
      <c r="B967" s="25"/>
      <c r="C967" s="25" t="s">
        <v>5829</v>
      </c>
      <c r="D967" s="25"/>
      <c r="E967" s="25"/>
    </row>
    <row r="968" spans="1:5" s="15" customFormat="1" ht="12.95" customHeight="1">
      <c r="A968" s="25" t="s">
        <v>5830</v>
      </c>
      <c r="B968" s="25"/>
      <c r="C968" s="25" t="s">
        <v>5831</v>
      </c>
      <c r="D968" s="25"/>
      <c r="E968" s="25"/>
    </row>
    <row r="969" spans="1:5" s="15" customFormat="1" ht="12.95" customHeight="1">
      <c r="A969" s="25" t="s">
        <v>5832</v>
      </c>
      <c r="B969" s="25"/>
      <c r="C969" s="25" t="s">
        <v>5822</v>
      </c>
      <c r="D969" s="25"/>
      <c r="E969" s="25"/>
    </row>
    <row r="970" spans="1:5" s="15" customFormat="1" ht="12.95" customHeight="1">
      <c r="A970" s="25" t="s">
        <v>5833</v>
      </c>
      <c r="B970" s="25"/>
      <c r="C970" s="25" t="s">
        <v>5834</v>
      </c>
      <c r="D970" s="25"/>
      <c r="E970" s="25"/>
    </row>
    <row r="971" spans="1:5" s="15" customFormat="1" ht="12.95" customHeight="1">
      <c r="A971" s="25" t="s">
        <v>5835</v>
      </c>
      <c r="B971" s="25"/>
      <c r="C971" s="25" t="s">
        <v>5836</v>
      </c>
      <c r="D971" s="25"/>
      <c r="E971" s="25"/>
    </row>
    <row r="972" spans="1:5" s="15" customFormat="1" ht="12.95" customHeight="1">
      <c r="A972" s="25" t="s">
        <v>5837</v>
      </c>
      <c r="B972" s="25"/>
      <c r="C972" s="25" t="s">
        <v>5838</v>
      </c>
      <c r="D972" s="25"/>
      <c r="E972" s="25"/>
    </row>
    <row r="973" spans="1:5" s="15" customFormat="1" ht="12.95" customHeight="1">
      <c r="A973" s="25" t="s">
        <v>5839</v>
      </c>
      <c r="B973" s="25"/>
      <c r="C973" s="25" t="s">
        <v>5838</v>
      </c>
      <c r="D973" s="25"/>
      <c r="E973" s="25"/>
    </row>
    <row r="974" spans="1:5" s="15" customFormat="1" ht="12.95" customHeight="1">
      <c r="A974" s="25" t="s">
        <v>5840</v>
      </c>
      <c r="B974" s="25"/>
      <c r="C974" s="25" t="s">
        <v>5841</v>
      </c>
      <c r="D974" s="25"/>
      <c r="E974" s="25"/>
    </row>
    <row r="975" spans="1:5" s="15" customFormat="1" ht="12.95" customHeight="1">
      <c r="A975" s="25" t="s">
        <v>5842</v>
      </c>
      <c r="B975" s="25"/>
      <c r="C975" s="25" t="s">
        <v>5843</v>
      </c>
      <c r="D975" s="25"/>
      <c r="E975" s="25"/>
    </row>
    <row r="976" spans="1:5" s="15" customFormat="1" ht="12.95" customHeight="1">
      <c r="A976" s="25" t="s">
        <v>5844</v>
      </c>
      <c r="B976" s="25"/>
      <c r="C976" s="25" t="s">
        <v>5843</v>
      </c>
      <c r="D976" s="25"/>
      <c r="E976" s="25"/>
    </row>
    <row r="977" spans="1:5" s="15" customFormat="1" ht="12.95" customHeight="1">
      <c r="A977" s="25" t="s">
        <v>5845</v>
      </c>
      <c r="B977" s="25"/>
      <c r="C977" s="25" t="s">
        <v>5846</v>
      </c>
      <c r="D977" s="25"/>
      <c r="E977" s="25"/>
    </row>
    <row r="978" spans="1:5" s="15" customFormat="1" ht="12.95" customHeight="1">
      <c r="A978" s="25" t="s">
        <v>5847</v>
      </c>
      <c r="B978" s="25"/>
      <c r="C978" s="25" t="s">
        <v>5848</v>
      </c>
      <c r="D978" s="25"/>
      <c r="E978" s="25"/>
    </row>
    <row r="979" spans="1:5" s="15" customFormat="1" ht="12.95" customHeight="1">
      <c r="A979" s="25" t="s">
        <v>5849</v>
      </c>
      <c r="B979" s="25"/>
      <c r="C979" s="25" t="s">
        <v>5850</v>
      </c>
      <c r="D979" s="25"/>
      <c r="E979" s="25"/>
    </row>
    <row r="980" spans="1:5" s="15" customFormat="1" ht="12.95" customHeight="1">
      <c r="A980" s="25" t="s">
        <v>5851</v>
      </c>
      <c r="B980" s="25"/>
      <c r="C980" s="25" t="s">
        <v>5852</v>
      </c>
      <c r="D980" s="25"/>
      <c r="E980" s="25"/>
    </row>
    <row r="981" spans="1:5" s="15" customFormat="1" ht="12.95" customHeight="1">
      <c r="A981" s="25" t="s">
        <v>5853</v>
      </c>
      <c r="B981" s="25"/>
      <c r="C981" s="25" t="s">
        <v>5850</v>
      </c>
      <c r="D981" s="25"/>
      <c r="E981" s="25"/>
    </row>
    <row r="982" spans="1:5" s="15" customFormat="1" ht="12.95" customHeight="1">
      <c r="A982" s="25" t="s">
        <v>5854</v>
      </c>
      <c r="B982" s="25"/>
      <c r="C982" s="25" t="s">
        <v>5850</v>
      </c>
      <c r="D982" s="25"/>
      <c r="E982" s="25"/>
    </row>
    <row r="983" spans="1:5" s="15" customFormat="1" ht="12.95" customHeight="1">
      <c r="A983" s="25" t="s">
        <v>5855</v>
      </c>
      <c r="B983" s="25"/>
      <c r="C983" s="25" t="s">
        <v>5852</v>
      </c>
      <c r="D983" s="25"/>
      <c r="E983" s="25"/>
    </row>
    <row r="984" spans="1:5" s="15" customFormat="1" ht="12.95" customHeight="1">
      <c r="A984" s="25" t="s">
        <v>5856</v>
      </c>
      <c r="B984" s="25"/>
      <c r="C984" s="25" t="s">
        <v>5857</v>
      </c>
      <c r="D984" s="25"/>
      <c r="E984" s="25"/>
    </row>
    <row r="985" spans="1:5" s="15" customFormat="1" ht="12.95" customHeight="1">
      <c r="A985" s="25" t="s">
        <v>5858</v>
      </c>
      <c r="B985" s="25"/>
      <c r="C985" s="25" t="s">
        <v>5859</v>
      </c>
      <c r="D985" s="25"/>
      <c r="E985" s="25"/>
    </row>
    <row r="986" spans="1:5" s="15" customFormat="1" ht="12.95" customHeight="1">
      <c r="A986" s="25" t="s">
        <v>5860</v>
      </c>
      <c r="B986" s="25"/>
      <c r="C986" s="25" t="s">
        <v>5861</v>
      </c>
      <c r="D986" s="25"/>
      <c r="E986" s="25"/>
    </row>
    <row r="987" spans="1:5" s="15" customFormat="1" ht="12.95" customHeight="1">
      <c r="A987" s="25" t="s">
        <v>5862</v>
      </c>
      <c r="B987" s="25"/>
      <c r="C987" s="25" t="s">
        <v>5863</v>
      </c>
      <c r="D987" s="25"/>
      <c r="E987" s="25"/>
    </row>
    <row r="988" spans="1:5" s="15" customFormat="1" ht="12.95" customHeight="1">
      <c r="A988" s="25" t="s">
        <v>5864</v>
      </c>
      <c r="B988" s="25"/>
      <c r="C988" s="25" t="s">
        <v>5865</v>
      </c>
      <c r="D988" s="25"/>
      <c r="E988" s="25"/>
    </row>
    <row r="989" spans="1:5" s="15" customFormat="1" ht="12.95" customHeight="1">
      <c r="A989" s="25" t="s">
        <v>5866</v>
      </c>
      <c r="B989" s="25"/>
      <c r="C989" s="25" t="s">
        <v>5867</v>
      </c>
      <c r="D989" s="25"/>
      <c r="E989" s="25"/>
    </row>
    <row r="990" spans="1:5" s="15" customFormat="1" ht="12.95" customHeight="1">
      <c r="A990" s="25" t="s">
        <v>5868</v>
      </c>
      <c r="B990" s="25"/>
      <c r="C990" s="25" t="s">
        <v>5869</v>
      </c>
      <c r="D990" s="25"/>
      <c r="E990" s="25"/>
    </row>
    <row r="991" spans="1:5" s="15" customFormat="1" ht="12.95" customHeight="1">
      <c r="A991" s="25" t="s">
        <v>5870</v>
      </c>
      <c r="B991" s="25"/>
      <c r="C991" s="25" t="s">
        <v>5871</v>
      </c>
      <c r="D991" s="25"/>
      <c r="E991" s="25"/>
    </row>
    <row r="992" spans="1:5" s="15" customFormat="1" ht="12.95" customHeight="1">
      <c r="A992" s="25" t="s">
        <v>5872</v>
      </c>
      <c r="B992" s="25"/>
      <c r="C992" s="25" t="s">
        <v>5873</v>
      </c>
      <c r="D992" s="25"/>
      <c r="E992" s="25"/>
    </row>
    <row r="993" spans="1:5" s="15" customFormat="1" ht="12.95" customHeight="1">
      <c r="A993" s="25" t="s">
        <v>5874</v>
      </c>
      <c r="B993" s="25"/>
      <c r="C993" s="25" t="s">
        <v>5873</v>
      </c>
      <c r="D993" s="25"/>
      <c r="E993" s="25"/>
    </row>
    <row r="994" spans="1:5" s="15" customFormat="1" ht="12.95" customHeight="1">
      <c r="A994" s="25" t="s">
        <v>5875</v>
      </c>
      <c r="B994" s="25"/>
      <c r="C994" s="25" t="s">
        <v>5876</v>
      </c>
      <c r="D994" s="25"/>
      <c r="E994" s="25"/>
    </row>
    <row r="995" spans="1:5" s="15" customFormat="1" ht="12.95" customHeight="1">
      <c r="A995" s="25" t="s">
        <v>5877</v>
      </c>
      <c r="B995" s="25"/>
      <c r="C995" s="25" t="s">
        <v>5878</v>
      </c>
      <c r="D995" s="25"/>
      <c r="E995" s="25"/>
    </row>
    <row r="996" spans="1:5" s="15" customFormat="1" ht="12.95" customHeight="1">
      <c r="A996" s="25" t="s">
        <v>5879</v>
      </c>
      <c r="B996" s="25"/>
      <c r="C996" s="25" t="s">
        <v>5880</v>
      </c>
      <c r="D996" s="25"/>
      <c r="E996" s="25"/>
    </row>
    <row r="997" spans="1:5" s="15" customFormat="1" ht="12.95" customHeight="1">
      <c r="A997" s="25" t="s">
        <v>5881</v>
      </c>
      <c r="B997" s="25"/>
      <c r="C997" s="25" t="s">
        <v>5882</v>
      </c>
      <c r="D997" s="25"/>
      <c r="E997" s="25"/>
    </row>
    <row r="998" spans="1:5" s="15" customFormat="1" ht="12.95" customHeight="1">
      <c r="A998" s="25" t="s">
        <v>5883</v>
      </c>
      <c r="B998" s="25"/>
      <c r="C998" s="25" t="s">
        <v>5884</v>
      </c>
      <c r="D998" s="25"/>
      <c r="E998" s="25"/>
    </row>
    <row r="999" spans="1:5" s="15" customFormat="1" ht="12.95" customHeight="1">
      <c r="A999" s="25" t="s">
        <v>4632</v>
      </c>
      <c r="B999" s="25"/>
      <c r="C999" s="25" t="s">
        <v>5885</v>
      </c>
      <c r="D999" s="25"/>
      <c r="E999" s="25"/>
    </row>
    <row r="1000" spans="1:5" s="15" customFormat="1" ht="12.95" customHeight="1">
      <c r="A1000" s="25" t="s">
        <v>5886</v>
      </c>
      <c r="B1000" s="25"/>
      <c r="C1000" s="25" t="s">
        <v>5887</v>
      </c>
      <c r="D1000" s="25"/>
      <c r="E1000" s="25"/>
    </row>
    <row r="1001" spans="1:5" s="15" customFormat="1" ht="12.95" customHeight="1">
      <c r="A1001" s="25" t="s">
        <v>5888</v>
      </c>
      <c r="B1001" s="25"/>
      <c r="C1001" s="25" t="s">
        <v>5889</v>
      </c>
      <c r="D1001" s="25"/>
      <c r="E1001" s="25"/>
    </row>
    <row r="1002" spans="1:5" s="15" customFormat="1" ht="12.95" customHeight="1">
      <c r="A1002" s="25" t="s">
        <v>5890</v>
      </c>
      <c r="B1002" s="25"/>
      <c r="C1002" s="25" t="s">
        <v>5891</v>
      </c>
      <c r="D1002" s="25"/>
      <c r="E1002" s="25"/>
    </row>
    <row r="1003" spans="1:5" s="15" customFormat="1" ht="12.95" customHeight="1">
      <c r="A1003" s="25" t="s">
        <v>5892</v>
      </c>
      <c r="B1003" s="25"/>
      <c r="C1003" s="25" t="s">
        <v>5893</v>
      </c>
      <c r="D1003" s="25"/>
      <c r="E1003" s="25"/>
    </row>
    <row r="1004" spans="1:5" s="15" customFormat="1" ht="12.95" customHeight="1">
      <c r="A1004" s="25" t="s">
        <v>5894</v>
      </c>
      <c r="B1004" s="25"/>
      <c r="C1004" s="25" t="s">
        <v>5887</v>
      </c>
      <c r="D1004" s="25"/>
      <c r="E1004" s="25"/>
    </row>
    <row r="1005" spans="1:5" s="15" customFormat="1" ht="12.95" customHeight="1">
      <c r="A1005" s="25" t="s">
        <v>5895</v>
      </c>
      <c r="B1005" s="25"/>
      <c r="C1005" s="25" t="s">
        <v>5889</v>
      </c>
      <c r="D1005" s="25"/>
      <c r="E1005" s="25"/>
    </row>
    <row r="1006" spans="1:5" s="15" customFormat="1" ht="12.95" customHeight="1">
      <c r="A1006" s="25" t="s">
        <v>5896</v>
      </c>
      <c r="B1006" s="25"/>
      <c r="C1006" s="25" t="s">
        <v>5891</v>
      </c>
      <c r="D1006" s="25"/>
      <c r="E1006" s="25"/>
    </row>
    <row r="1007" spans="1:5" s="15" customFormat="1" ht="12.95" customHeight="1">
      <c r="A1007" s="25" t="s">
        <v>5897</v>
      </c>
      <c r="B1007" s="25"/>
      <c r="C1007" s="25" t="s">
        <v>5893</v>
      </c>
      <c r="D1007" s="25"/>
      <c r="E1007" s="25"/>
    </row>
    <row r="1008" spans="1:5" s="15" customFormat="1" ht="12.95" customHeight="1">
      <c r="A1008" s="25" t="s">
        <v>5898</v>
      </c>
      <c r="B1008" s="25"/>
      <c r="C1008" s="25" t="s">
        <v>5899</v>
      </c>
      <c r="D1008" s="25"/>
      <c r="E1008" s="25"/>
    </row>
    <row r="1009" spans="1:5" s="15" customFormat="1" ht="12.95" customHeight="1">
      <c r="A1009" s="25" t="s">
        <v>5900</v>
      </c>
      <c r="B1009" s="25"/>
      <c r="C1009" s="25" t="s">
        <v>5887</v>
      </c>
      <c r="D1009" s="25"/>
      <c r="E1009" s="25"/>
    </row>
    <row r="1010" spans="1:5" s="15" customFormat="1" ht="12.95" customHeight="1">
      <c r="A1010" s="25" t="s">
        <v>5901</v>
      </c>
      <c r="B1010" s="25"/>
      <c r="C1010" s="25" t="s">
        <v>5902</v>
      </c>
      <c r="D1010" s="25"/>
      <c r="E1010" s="25"/>
    </row>
    <row r="1011" spans="1:5" s="15" customFormat="1" ht="12.95" customHeight="1">
      <c r="A1011" s="25" t="s">
        <v>5903</v>
      </c>
      <c r="B1011" s="25"/>
      <c r="C1011" s="25" t="s">
        <v>5904</v>
      </c>
      <c r="D1011" s="25"/>
      <c r="E1011" s="25"/>
    </row>
    <row r="1012" spans="1:5" s="15" customFormat="1" ht="12.95" customHeight="1">
      <c r="A1012" s="25" t="s">
        <v>5905</v>
      </c>
      <c r="B1012" s="25"/>
      <c r="C1012" s="25" t="s">
        <v>5906</v>
      </c>
      <c r="D1012" s="25"/>
      <c r="E1012" s="25"/>
    </row>
    <row r="1013" spans="1:5" s="15" customFormat="1" ht="12.95" customHeight="1">
      <c r="A1013" s="25" t="s">
        <v>5907</v>
      </c>
      <c r="B1013" s="25"/>
      <c r="C1013" s="25" t="s">
        <v>5908</v>
      </c>
      <c r="D1013" s="25"/>
      <c r="E1013" s="25"/>
    </row>
    <row r="1014" spans="1:5" s="15" customFormat="1" ht="12.95" customHeight="1">
      <c r="A1014" s="25" t="s">
        <v>5909</v>
      </c>
      <c r="B1014" s="25"/>
      <c r="C1014" s="25" t="s">
        <v>5910</v>
      </c>
      <c r="D1014" s="25"/>
      <c r="E1014" s="25"/>
    </row>
    <row r="1015" spans="1:5" s="15" customFormat="1" ht="12.95" customHeight="1">
      <c r="A1015" s="25" t="s">
        <v>5911</v>
      </c>
      <c r="B1015" s="25"/>
      <c r="C1015" s="25" t="s">
        <v>5912</v>
      </c>
      <c r="D1015" s="25"/>
      <c r="E1015" s="25"/>
    </row>
    <row r="1016" spans="1:5" s="15" customFormat="1" ht="12.95" customHeight="1">
      <c r="A1016" s="25" t="s">
        <v>5913</v>
      </c>
      <c r="B1016" s="25"/>
      <c r="C1016" s="25" t="s">
        <v>5906</v>
      </c>
      <c r="D1016" s="25"/>
      <c r="E1016" s="25"/>
    </row>
    <row r="1017" spans="1:5" s="15" customFormat="1" ht="12.95" customHeight="1">
      <c r="A1017" s="25" t="s">
        <v>5914</v>
      </c>
      <c r="B1017" s="25"/>
      <c r="C1017" s="25" t="s">
        <v>5908</v>
      </c>
      <c r="D1017" s="25"/>
      <c r="E1017" s="25"/>
    </row>
    <row r="1018" spans="1:5" s="15" customFormat="1" ht="12.95" customHeight="1">
      <c r="A1018" s="25" t="s">
        <v>5915</v>
      </c>
      <c r="B1018" s="25"/>
      <c r="C1018" s="25" t="s">
        <v>5916</v>
      </c>
      <c r="D1018" s="25"/>
      <c r="E1018" s="25"/>
    </row>
    <row r="1019" spans="1:5" s="15" customFormat="1" ht="12.95" customHeight="1">
      <c r="A1019" s="25" t="s">
        <v>5917</v>
      </c>
      <c r="B1019" s="25"/>
      <c r="C1019" s="25" t="s">
        <v>5918</v>
      </c>
      <c r="D1019" s="25"/>
      <c r="E1019" s="25"/>
    </row>
    <row r="1020" spans="1:5" s="15" customFormat="1" ht="12.95" customHeight="1">
      <c r="A1020" s="25" t="s">
        <v>5919</v>
      </c>
      <c r="B1020" s="25"/>
      <c r="C1020" s="25" t="s">
        <v>5920</v>
      </c>
      <c r="D1020" s="25"/>
      <c r="E1020" s="25"/>
    </row>
    <row r="1021" spans="1:5" s="15" customFormat="1" ht="12.95" customHeight="1">
      <c r="A1021" s="25" t="s">
        <v>5921</v>
      </c>
      <c r="B1021" s="25"/>
      <c r="C1021" s="25" t="s">
        <v>5910</v>
      </c>
      <c r="D1021" s="25"/>
      <c r="E1021" s="25"/>
    </row>
    <row r="1022" spans="1:5" s="15" customFormat="1" ht="12.95" customHeight="1">
      <c r="A1022" s="25" t="s">
        <v>5922</v>
      </c>
      <c r="B1022" s="25"/>
      <c r="C1022" s="25" t="s">
        <v>5923</v>
      </c>
      <c r="D1022" s="25"/>
      <c r="E1022" s="25"/>
    </row>
    <row r="1023" spans="1:5" s="15" customFormat="1" ht="12.95" customHeight="1">
      <c r="A1023" s="25" t="s">
        <v>5924</v>
      </c>
      <c r="B1023" s="25"/>
      <c r="C1023" s="25" t="s">
        <v>5925</v>
      </c>
      <c r="D1023" s="25"/>
      <c r="E1023" s="25"/>
    </row>
    <row r="1024" spans="1:5" s="15" customFormat="1" ht="12.95" customHeight="1">
      <c r="A1024" s="25" t="s">
        <v>5926</v>
      </c>
      <c r="B1024" s="25"/>
      <c r="C1024" s="25" t="s">
        <v>5927</v>
      </c>
      <c r="D1024" s="25"/>
      <c r="E1024" s="25"/>
    </row>
    <row r="1025" spans="1:5" s="15" customFormat="1" ht="12.95" customHeight="1">
      <c r="A1025" s="25" t="s">
        <v>5928</v>
      </c>
      <c r="B1025" s="25"/>
      <c r="C1025" s="25" t="s">
        <v>5929</v>
      </c>
      <c r="D1025" s="25"/>
      <c r="E1025" s="25"/>
    </row>
    <row r="1026" spans="1:5" s="15" customFormat="1" ht="12.95" customHeight="1">
      <c r="A1026" s="25" t="s">
        <v>5930</v>
      </c>
      <c r="B1026" s="25"/>
      <c r="C1026" s="25" t="s">
        <v>5931</v>
      </c>
      <c r="D1026" s="25"/>
      <c r="E1026" s="25"/>
    </row>
    <row r="1027" spans="1:5" s="15" customFormat="1" ht="12.95" customHeight="1">
      <c r="A1027" s="25" t="s">
        <v>5932</v>
      </c>
      <c r="B1027" s="25"/>
      <c r="C1027" s="25" t="s">
        <v>5933</v>
      </c>
      <c r="D1027" s="25"/>
      <c r="E1027" s="25"/>
    </row>
    <row r="1028" spans="1:5" s="15" customFormat="1" ht="12.95" customHeight="1">
      <c r="A1028" s="25" t="s">
        <v>5934</v>
      </c>
      <c r="B1028" s="25"/>
      <c r="C1028" s="25" t="s">
        <v>5935</v>
      </c>
      <c r="D1028" s="25"/>
      <c r="E1028" s="25"/>
    </row>
    <row r="1029" spans="1:5" s="15" customFormat="1" ht="12.95" customHeight="1">
      <c r="A1029" s="25" t="s">
        <v>5936</v>
      </c>
      <c r="B1029" s="25"/>
      <c r="C1029" s="25" t="s">
        <v>5937</v>
      </c>
      <c r="D1029" s="25"/>
      <c r="E1029" s="25"/>
    </row>
    <row r="1030" spans="1:5" s="15" customFormat="1" ht="12.95" customHeight="1">
      <c r="A1030" s="25" t="s">
        <v>5938</v>
      </c>
      <c r="B1030" s="25"/>
      <c r="C1030" s="25" t="s">
        <v>5939</v>
      </c>
      <c r="D1030" s="25"/>
      <c r="E1030" s="25"/>
    </row>
    <row r="1031" spans="1:5" s="15" customFormat="1" ht="12.95" customHeight="1">
      <c r="A1031" s="25" t="s">
        <v>5940</v>
      </c>
      <c r="B1031" s="25"/>
      <c r="C1031" s="25" t="s">
        <v>5941</v>
      </c>
      <c r="D1031" s="25"/>
      <c r="E1031" s="25"/>
    </row>
    <row r="1032" spans="1:5" s="15" customFormat="1" ht="12.95" customHeight="1">
      <c r="A1032" s="25" t="s">
        <v>5942</v>
      </c>
      <c r="B1032" s="25"/>
      <c r="C1032" s="25" t="s">
        <v>5943</v>
      </c>
      <c r="D1032" s="25"/>
      <c r="E1032" s="25"/>
    </row>
    <row r="1033" spans="1:5" s="15" customFormat="1" ht="12.95" customHeight="1">
      <c r="A1033" s="25" t="s">
        <v>5944</v>
      </c>
      <c r="B1033" s="25"/>
      <c r="C1033" s="25" t="s">
        <v>5945</v>
      </c>
      <c r="D1033" s="25"/>
      <c r="E1033" s="25"/>
    </row>
    <row r="1034" spans="1:5" s="15" customFormat="1" ht="12.95" customHeight="1">
      <c r="A1034" s="25" t="s">
        <v>5946</v>
      </c>
      <c r="B1034" s="25"/>
      <c r="C1034" s="25" t="s">
        <v>5947</v>
      </c>
      <c r="D1034" s="25"/>
      <c r="E1034" s="25"/>
    </row>
    <row r="1035" spans="1:5" s="15" customFormat="1" ht="12.95" customHeight="1">
      <c r="A1035" s="25" t="s">
        <v>5948</v>
      </c>
      <c r="B1035" s="25"/>
      <c r="C1035" s="25" t="s">
        <v>5949</v>
      </c>
      <c r="D1035" s="25"/>
      <c r="E1035" s="25"/>
    </row>
    <row r="1036" spans="1:5" s="15" customFormat="1" ht="12.95" customHeight="1">
      <c r="A1036" s="25" t="s">
        <v>5950</v>
      </c>
      <c r="B1036" s="25"/>
      <c r="C1036" s="25" t="s">
        <v>5951</v>
      </c>
      <c r="D1036" s="25"/>
      <c r="E1036" s="25"/>
    </row>
    <row r="1037" spans="1:5" s="15" customFormat="1" ht="12.95" customHeight="1">
      <c r="A1037" s="25" t="s">
        <v>5952</v>
      </c>
      <c r="B1037" s="25"/>
      <c r="C1037" s="25" t="s">
        <v>5953</v>
      </c>
      <c r="D1037" s="25"/>
      <c r="E1037" s="25"/>
    </row>
    <row r="1038" spans="1:5" s="15" customFormat="1" ht="12.95" customHeight="1">
      <c r="A1038" s="25" t="s">
        <v>5954</v>
      </c>
      <c r="B1038" s="25"/>
      <c r="C1038" s="25" t="s">
        <v>5955</v>
      </c>
      <c r="D1038" s="25"/>
      <c r="E1038" s="25"/>
    </row>
    <row r="1039" spans="1:5" s="15" customFormat="1" ht="12.95" customHeight="1">
      <c r="A1039" s="25" t="s">
        <v>2838</v>
      </c>
      <c r="B1039" s="25"/>
      <c r="C1039" s="25" t="s">
        <v>5956</v>
      </c>
      <c r="D1039" s="25"/>
      <c r="E1039" s="25"/>
    </row>
    <row r="1040" spans="1:5" s="15" customFormat="1" ht="12.95" customHeight="1">
      <c r="A1040" s="25" t="s">
        <v>5957</v>
      </c>
      <c r="B1040" s="25"/>
      <c r="C1040" s="25" t="s">
        <v>5958</v>
      </c>
      <c r="D1040" s="25"/>
      <c r="E1040" s="25"/>
    </row>
    <row r="1041" spans="1:5" s="15" customFormat="1" ht="12.95" customHeight="1">
      <c r="A1041" s="25" t="s">
        <v>5959</v>
      </c>
      <c r="B1041" s="25"/>
      <c r="C1041" s="25" t="s">
        <v>5960</v>
      </c>
      <c r="D1041" s="25"/>
      <c r="E1041" s="25"/>
    </row>
    <row r="1042" spans="1:5" s="15" customFormat="1" ht="12.95" customHeight="1">
      <c r="A1042" s="25" t="s">
        <v>5961</v>
      </c>
      <c r="B1042" s="25"/>
      <c r="C1042" s="25" t="s">
        <v>5962</v>
      </c>
      <c r="D1042" s="25"/>
      <c r="E1042" s="25"/>
    </row>
    <row r="1043" spans="1:5" s="15" customFormat="1" ht="12.95" customHeight="1">
      <c r="A1043" s="25" t="s">
        <v>5963</v>
      </c>
      <c r="B1043" s="25"/>
      <c r="C1043" s="25" t="s">
        <v>5964</v>
      </c>
      <c r="D1043" s="25"/>
      <c r="E1043" s="25"/>
    </row>
    <row r="1044" spans="1:5" s="15" customFormat="1" ht="12.95" customHeight="1">
      <c r="A1044" s="25" t="s">
        <v>5965</v>
      </c>
      <c r="B1044" s="25"/>
      <c r="C1044" s="25" t="s">
        <v>5966</v>
      </c>
      <c r="D1044" s="25"/>
      <c r="E1044" s="25"/>
    </row>
    <row r="1045" spans="1:5" s="15" customFormat="1" ht="12.95" customHeight="1">
      <c r="A1045" s="25" t="s">
        <v>5967</v>
      </c>
      <c r="B1045" s="25"/>
      <c r="C1045" s="25" t="s">
        <v>5966</v>
      </c>
      <c r="D1045" s="25"/>
      <c r="E1045" s="25"/>
    </row>
    <row r="1046" spans="1:5" s="15" customFormat="1" ht="12.95" customHeight="1">
      <c r="A1046" s="25" t="s">
        <v>5968</v>
      </c>
      <c r="B1046" s="25"/>
      <c r="C1046" s="25" t="s">
        <v>5969</v>
      </c>
      <c r="D1046" s="25"/>
      <c r="E1046" s="25"/>
    </row>
    <row r="1047" spans="1:5" s="15" customFormat="1" ht="12.95" customHeight="1">
      <c r="A1047" s="25" t="s">
        <v>5970</v>
      </c>
      <c r="B1047" s="25"/>
      <c r="C1047" s="25" t="s">
        <v>5971</v>
      </c>
      <c r="D1047" s="25"/>
      <c r="E1047" s="25"/>
    </row>
    <row r="1048" spans="1:5" s="15" customFormat="1" ht="12.95" customHeight="1">
      <c r="A1048" s="25" t="s">
        <v>5972</v>
      </c>
      <c r="B1048" s="25"/>
      <c r="C1048" s="25" t="s">
        <v>5973</v>
      </c>
      <c r="D1048" s="25"/>
      <c r="E1048" s="25"/>
    </row>
    <row r="1049" spans="1:5" s="15" customFormat="1" ht="12.95" customHeight="1">
      <c r="A1049" s="25" t="s">
        <v>4649</v>
      </c>
      <c r="B1049" s="25"/>
      <c r="C1049" s="25" t="s">
        <v>5974</v>
      </c>
      <c r="D1049" s="25"/>
      <c r="E1049" s="25"/>
    </row>
    <row r="1050" spans="1:5" s="15" customFormat="1" ht="12.95" customHeight="1">
      <c r="A1050" s="25" t="s">
        <v>5975</v>
      </c>
      <c r="B1050" s="25"/>
      <c r="C1050" s="25" t="s">
        <v>5976</v>
      </c>
      <c r="D1050" s="25"/>
      <c r="E1050" s="25"/>
    </row>
    <row r="1051" spans="1:5" s="15" customFormat="1" ht="12.95" customHeight="1">
      <c r="A1051" s="25" t="s">
        <v>5977</v>
      </c>
      <c r="B1051" s="25"/>
      <c r="C1051" s="25" t="s">
        <v>5978</v>
      </c>
      <c r="D1051" s="25"/>
      <c r="E1051" s="25"/>
    </row>
    <row r="1052" spans="1:5" s="15" customFormat="1" ht="12.95" customHeight="1">
      <c r="A1052" s="25" t="s">
        <v>5979</v>
      </c>
      <c r="B1052" s="25"/>
      <c r="C1052" s="25" t="s">
        <v>5980</v>
      </c>
      <c r="D1052" s="25"/>
      <c r="E1052" s="25"/>
    </row>
    <row r="1053" spans="1:5" s="15" customFormat="1" ht="12.95" customHeight="1">
      <c r="A1053" s="25" t="s">
        <v>5981</v>
      </c>
      <c r="B1053" s="25"/>
      <c r="C1053" s="25" t="s">
        <v>5982</v>
      </c>
      <c r="D1053" s="25"/>
      <c r="E1053" s="25"/>
    </row>
    <row r="1054" spans="1:5" s="15" customFormat="1" ht="12.95" customHeight="1">
      <c r="A1054" s="25" t="s">
        <v>5983</v>
      </c>
      <c r="B1054" s="25"/>
      <c r="C1054" s="25" t="s">
        <v>5978</v>
      </c>
      <c r="D1054" s="25"/>
      <c r="E1054" s="25"/>
    </row>
    <row r="1055" spans="1:5" s="15" customFormat="1" ht="12.95" customHeight="1">
      <c r="A1055" s="25" t="s">
        <v>5984</v>
      </c>
      <c r="B1055" s="25"/>
      <c r="C1055" s="25" t="s">
        <v>5985</v>
      </c>
      <c r="D1055" s="25"/>
      <c r="E1055" s="25"/>
    </row>
    <row r="1056" spans="1:5" s="15" customFormat="1" ht="12.95" customHeight="1">
      <c r="A1056" s="25" t="s">
        <v>5986</v>
      </c>
      <c r="B1056" s="25"/>
      <c r="C1056" s="25" t="s">
        <v>5980</v>
      </c>
      <c r="D1056" s="25"/>
      <c r="E1056" s="25"/>
    </row>
    <row r="1057" spans="1:5" s="15" customFormat="1" ht="12.95" customHeight="1">
      <c r="A1057" s="25" t="s">
        <v>5987</v>
      </c>
      <c r="B1057" s="25"/>
      <c r="C1057" s="25" t="s">
        <v>5982</v>
      </c>
      <c r="D1057" s="25"/>
      <c r="E1057" s="25"/>
    </row>
    <row r="1058" spans="1:5" s="15" customFormat="1" ht="12.95" customHeight="1">
      <c r="A1058" s="25" t="s">
        <v>5988</v>
      </c>
      <c r="B1058" s="25"/>
      <c r="C1058" s="25" t="s">
        <v>5989</v>
      </c>
      <c r="D1058" s="25"/>
      <c r="E1058" s="25"/>
    </row>
    <row r="1059" spans="1:5" s="15" customFormat="1" ht="12.95" customHeight="1">
      <c r="A1059" s="25" t="s">
        <v>5990</v>
      </c>
      <c r="B1059" s="25"/>
      <c r="C1059" s="25" t="s">
        <v>5991</v>
      </c>
      <c r="D1059" s="25"/>
      <c r="E1059" s="25"/>
    </row>
    <row r="1060" spans="1:5" s="15" customFormat="1" ht="12.95" customHeight="1">
      <c r="A1060" s="25" t="s">
        <v>5992</v>
      </c>
      <c r="B1060" s="25"/>
      <c r="C1060" s="25" t="s">
        <v>5993</v>
      </c>
      <c r="D1060" s="25"/>
      <c r="E1060" s="25"/>
    </row>
    <row r="1061" spans="1:5" s="15" customFormat="1" ht="12.95" customHeight="1">
      <c r="A1061" s="25" t="s">
        <v>5994</v>
      </c>
      <c r="B1061" s="25"/>
      <c r="C1061" s="25" t="s">
        <v>5995</v>
      </c>
      <c r="D1061" s="25"/>
      <c r="E1061" s="25"/>
    </row>
    <row r="1062" spans="1:5" s="15" customFormat="1" ht="12.95" customHeight="1">
      <c r="A1062" s="25" t="s">
        <v>5996</v>
      </c>
      <c r="B1062" s="25"/>
      <c r="C1062" s="25" t="s">
        <v>5997</v>
      </c>
      <c r="D1062" s="25"/>
      <c r="E1062" s="25"/>
    </row>
    <row r="1063" spans="1:5" s="15" customFormat="1" ht="12.95" customHeight="1">
      <c r="A1063" s="25" t="s">
        <v>5998</v>
      </c>
      <c r="B1063" s="25"/>
      <c r="C1063" s="25" t="s">
        <v>5999</v>
      </c>
      <c r="D1063" s="25"/>
      <c r="E1063" s="25"/>
    </row>
    <row r="1064" spans="1:5" s="15" customFormat="1" ht="12.95" customHeight="1">
      <c r="A1064" s="25" t="s">
        <v>6000</v>
      </c>
      <c r="B1064" s="25"/>
      <c r="C1064" s="25" t="s">
        <v>6001</v>
      </c>
      <c r="D1064" s="25"/>
      <c r="E1064" s="25"/>
    </row>
    <row r="1065" spans="1:5" s="15" customFormat="1" ht="12.95" customHeight="1">
      <c r="A1065" s="25" t="s">
        <v>6002</v>
      </c>
      <c r="B1065" s="25"/>
      <c r="C1065" s="25" t="s">
        <v>6003</v>
      </c>
      <c r="D1065" s="25"/>
      <c r="E1065" s="25"/>
    </row>
    <row r="1066" spans="1:5" s="15" customFormat="1" ht="12.95" customHeight="1">
      <c r="A1066" s="25" t="s">
        <v>6004</v>
      </c>
      <c r="B1066" s="25"/>
      <c r="C1066" s="25" t="s">
        <v>6005</v>
      </c>
      <c r="D1066" s="25"/>
      <c r="E1066" s="25"/>
    </row>
    <row r="1067" spans="1:5" s="15" customFormat="1" ht="12.95" customHeight="1">
      <c r="A1067" s="25" t="s">
        <v>6006</v>
      </c>
      <c r="B1067" s="25"/>
      <c r="C1067" s="25" t="s">
        <v>6007</v>
      </c>
      <c r="D1067" s="25"/>
      <c r="E1067" s="25"/>
    </row>
    <row r="1068" spans="1:5" s="15" customFormat="1" ht="12.95" customHeight="1">
      <c r="A1068" s="25" t="s">
        <v>6008</v>
      </c>
      <c r="B1068" s="25"/>
      <c r="C1068" s="25" t="s">
        <v>6007</v>
      </c>
      <c r="D1068" s="25"/>
      <c r="E1068" s="25"/>
    </row>
    <row r="1069" spans="1:5" s="15" customFormat="1" ht="12.95" customHeight="1">
      <c r="A1069" s="25" t="s">
        <v>6009</v>
      </c>
      <c r="B1069" s="25"/>
      <c r="C1069" s="25" t="s">
        <v>6010</v>
      </c>
      <c r="D1069" s="25"/>
      <c r="E1069" s="25"/>
    </row>
    <row r="1070" spans="1:5" s="15" customFormat="1" ht="12.95" customHeight="1">
      <c r="A1070" s="25" t="s">
        <v>6011</v>
      </c>
      <c r="B1070" s="25"/>
      <c r="C1070" s="25" t="s">
        <v>6012</v>
      </c>
      <c r="D1070" s="25"/>
      <c r="E1070" s="25"/>
    </row>
    <row r="1071" spans="1:5" s="15" customFormat="1" ht="12.95" customHeight="1">
      <c r="A1071" s="25" t="s">
        <v>6013</v>
      </c>
      <c r="B1071" s="25"/>
      <c r="C1071" s="25" t="s">
        <v>6014</v>
      </c>
      <c r="D1071" s="25"/>
      <c r="E1071" s="25"/>
    </row>
    <row r="1072" spans="1:5" s="15" customFormat="1" ht="12.95" customHeight="1">
      <c r="A1072" s="25" t="s">
        <v>6015</v>
      </c>
      <c r="B1072" s="25"/>
      <c r="C1072" s="25" t="s">
        <v>6016</v>
      </c>
      <c r="D1072" s="25"/>
      <c r="E1072" s="25"/>
    </row>
    <row r="1073" spans="1:5" s="15" customFormat="1" ht="12.95" customHeight="1">
      <c r="A1073" s="25" t="s">
        <v>6017</v>
      </c>
      <c r="B1073" s="25"/>
      <c r="C1073" s="25" t="s">
        <v>6018</v>
      </c>
      <c r="D1073" s="25"/>
      <c r="E1073" s="25"/>
    </row>
    <row r="1074" spans="1:5" s="15" customFormat="1" ht="12.95" customHeight="1">
      <c r="A1074" s="25" t="s">
        <v>6019</v>
      </c>
      <c r="B1074" s="25"/>
      <c r="C1074" s="25" t="s">
        <v>6014</v>
      </c>
      <c r="D1074" s="25"/>
      <c r="E1074" s="25"/>
    </row>
    <row r="1075" spans="1:5" s="15" customFormat="1" ht="12.95" customHeight="1">
      <c r="A1075" s="25" t="s">
        <v>6020</v>
      </c>
      <c r="B1075" s="25"/>
      <c r="C1075" s="25" t="s">
        <v>6021</v>
      </c>
      <c r="D1075" s="25"/>
      <c r="E1075" s="25"/>
    </row>
    <row r="1076" spans="1:5" s="15" customFormat="1" ht="12.95" customHeight="1">
      <c r="A1076" s="25" t="s">
        <v>6022</v>
      </c>
      <c r="B1076" s="25"/>
      <c r="C1076" s="25" t="s">
        <v>6016</v>
      </c>
      <c r="D1076" s="25"/>
      <c r="E1076" s="25"/>
    </row>
    <row r="1077" spans="1:5" s="15" customFormat="1" ht="12.95" customHeight="1">
      <c r="A1077" s="25" t="s">
        <v>6023</v>
      </c>
      <c r="B1077" s="25"/>
      <c r="C1077" s="25" t="s">
        <v>6018</v>
      </c>
      <c r="D1077" s="25"/>
      <c r="E1077" s="25"/>
    </row>
    <row r="1078" spans="1:5" s="15" customFormat="1" ht="12.95" customHeight="1">
      <c r="A1078" s="25" t="s">
        <v>6024</v>
      </c>
      <c r="B1078" s="25"/>
      <c r="C1078" s="25" t="s">
        <v>6025</v>
      </c>
      <c r="D1078" s="25"/>
      <c r="E1078" s="25"/>
    </row>
    <row r="1079" spans="1:5" s="15" customFormat="1" ht="12.95" customHeight="1">
      <c r="A1079" s="25" t="s">
        <v>6026</v>
      </c>
      <c r="B1079" s="25"/>
      <c r="C1079" s="25" t="s">
        <v>6027</v>
      </c>
      <c r="D1079" s="25"/>
      <c r="E1079" s="25"/>
    </row>
    <row r="1080" spans="1:5" s="15" customFormat="1" ht="12.95" customHeight="1">
      <c r="A1080" s="25" t="s">
        <v>6028</v>
      </c>
      <c r="B1080" s="25"/>
      <c r="C1080" s="25" t="s">
        <v>6029</v>
      </c>
      <c r="D1080" s="25"/>
      <c r="E1080" s="25"/>
    </row>
    <row r="1081" spans="1:5" s="15" customFormat="1" ht="12.95" customHeight="1">
      <c r="A1081" s="25" t="s">
        <v>6030</v>
      </c>
      <c r="B1081" s="25"/>
      <c r="C1081" s="25" t="s">
        <v>6031</v>
      </c>
      <c r="D1081" s="25"/>
      <c r="E1081" s="25"/>
    </row>
    <row r="1082" spans="1:5" s="15" customFormat="1" ht="12.95" customHeight="1">
      <c r="A1082" s="25" t="s">
        <v>6032</v>
      </c>
      <c r="B1082" s="25"/>
      <c r="C1082" s="25" t="s">
        <v>6033</v>
      </c>
      <c r="D1082" s="25"/>
      <c r="E1082" s="25"/>
    </row>
    <row r="1083" spans="1:5" s="15" customFormat="1" ht="12.95" customHeight="1">
      <c r="A1083" s="25" t="s">
        <v>6034</v>
      </c>
      <c r="B1083" s="25"/>
      <c r="C1083" s="25" t="s">
        <v>6035</v>
      </c>
      <c r="D1083" s="25"/>
      <c r="E1083" s="25"/>
    </row>
    <row r="1084" spans="1:5" s="15" customFormat="1" ht="12.95" customHeight="1">
      <c r="A1084" s="25" t="s">
        <v>6036</v>
      </c>
      <c r="B1084" s="25"/>
      <c r="C1084" s="25" t="s">
        <v>6037</v>
      </c>
      <c r="D1084" s="25"/>
      <c r="E1084" s="25"/>
    </row>
    <row r="1085" spans="1:5" s="15" customFormat="1" ht="12.95" customHeight="1">
      <c r="A1085" s="25" t="s">
        <v>6038</v>
      </c>
      <c r="B1085" s="25"/>
      <c r="C1085" s="25" t="s">
        <v>6039</v>
      </c>
      <c r="D1085" s="25"/>
      <c r="E1085" s="25"/>
    </row>
    <row r="1086" spans="1:5" s="15" customFormat="1" ht="12.95" customHeight="1">
      <c r="A1086" s="25" t="s">
        <v>6040</v>
      </c>
      <c r="B1086" s="25"/>
      <c r="C1086" s="25" t="s">
        <v>6041</v>
      </c>
      <c r="D1086" s="25"/>
      <c r="E1086" s="25"/>
    </row>
    <row r="1087" spans="1:5" s="15" customFormat="1" ht="12.95" customHeight="1">
      <c r="A1087" s="25" t="s">
        <v>6042</v>
      </c>
      <c r="B1087" s="25"/>
      <c r="C1087" s="25" t="s">
        <v>6043</v>
      </c>
      <c r="D1087" s="25"/>
      <c r="E1087" s="25"/>
    </row>
    <row r="1088" spans="1:5" s="15" customFormat="1" ht="12.95" customHeight="1">
      <c r="A1088" s="25" t="s">
        <v>6044</v>
      </c>
      <c r="B1088" s="25"/>
      <c r="C1088" s="25" t="s">
        <v>6045</v>
      </c>
      <c r="D1088" s="25"/>
      <c r="E1088" s="25"/>
    </row>
    <row r="1089" spans="1:5" s="15" customFormat="1" ht="12.95" customHeight="1">
      <c r="A1089" s="25" t="s">
        <v>6046</v>
      </c>
      <c r="B1089" s="25"/>
      <c r="C1089" s="25" t="s">
        <v>6047</v>
      </c>
      <c r="D1089" s="25"/>
      <c r="E1089" s="25"/>
    </row>
    <row r="1090" spans="1:5" s="15" customFormat="1" ht="12.95" customHeight="1">
      <c r="A1090" s="25" t="s">
        <v>6048</v>
      </c>
      <c r="B1090" s="25"/>
      <c r="C1090" s="25" t="s">
        <v>6049</v>
      </c>
      <c r="D1090" s="25"/>
      <c r="E1090" s="25"/>
    </row>
    <row r="1091" spans="1:5" s="15" customFormat="1" ht="12.95" customHeight="1">
      <c r="A1091" s="25" t="s">
        <v>6050</v>
      </c>
      <c r="B1091" s="25"/>
      <c r="C1091" s="25" t="s">
        <v>6051</v>
      </c>
      <c r="D1091" s="25"/>
      <c r="E1091" s="25"/>
    </row>
    <row r="1092" spans="1:5" s="15" customFormat="1" ht="12.95" customHeight="1">
      <c r="A1092" s="25" t="s">
        <v>6052</v>
      </c>
      <c r="B1092" s="25"/>
      <c r="C1092" s="25" t="s">
        <v>6047</v>
      </c>
      <c r="D1092" s="25"/>
      <c r="E1092" s="25"/>
    </row>
    <row r="1093" spans="1:5" s="15" customFormat="1" ht="12.95" customHeight="1">
      <c r="A1093" s="25" t="s">
        <v>6053</v>
      </c>
      <c r="B1093" s="25"/>
      <c r="C1093" s="25" t="s">
        <v>6054</v>
      </c>
      <c r="D1093" s="25"/>
      <c r="E1093" s="25"/>
    </row>
    <row r="1094" spans="1:5" s="15" customFormat="1" ht="12.95" customHeight="1">
      <c r="A1094" s="25" t="s">
        <v>6055</v>
      </c>
      <c r="B1094" s="25"/>
      <c r="C1094" s="25" t="s">
        <v>6056</v>
      </c>
      <c r="D1094" s="25"/>
      <c r="E1094" s="25"/>
    </row>
    <row r="1095" spans="1:5" s="15" customFormat="1" ht="12.95" customHeight="1">
      <c r="A1095" s="25" t="s">
        <v>6057</v>
      </c>
      <c r="B1095" s="25"/>
      <c r="C1095" s="25" t="s">
        <v>6058</v>
      </c>
      <c r="D1095" s="25"/>
      <c r="E1095" s="25"/>
    </row>
    <row r="1096" spans="1:5" s="15" customFormat="1" ht="12.95" customHeight="1">
      <c r="A1096" s="25" t="s">
        <v>6059</v>
      </c>
      <c r="B1096" s="25"/>
      <c r="C1096" s="25" t="s">
        <v>6060</v>
      </c>
      <c r="D1096" s="25"/>
      <c r="E1096" s="25"/>
    </row>
    <row r="1097" spans="1:5" s="15" customFormat="1" ht="12.95" customHeight="1">
      <c r="A1097" s="25" t="s">
        <v>6061</v>
      </c>
      <c r="B1097" s="25"/>
      <c r="C1097" s="25" t="s">
        <v>6062</v>
      </c>
      <c r="D1097" s="25"/>
      <c r="E1097" s="25"/>
    </row>
    <row r="1098" spans="1:5" s="15" customFormat="1" ht="12.95" customHeight="1">
      <c r="A1098" s="25" t="s">
        <v>6063</v>
      </c>
      <c r="B1098" s="25"/>
      <c r="C1098" s="25" t="s">
        <v>6064</v>
      </c>
      <c r="D1098" s="25"/>
      <c r="E1098" s="25"/>
    </row>
    <row r="1099" spans="1:5" s="15" customFormat="1" ht="12.95" customHeight="1">
      <c r="A1099" s="25" t="s">
        <v>6065</v>
      </c>
      <c r="B1099" s="25"/>
      <c r="C1099" s="25" t="s">
        <v>6066</v>
      </c>
      <c r="D1099" s="25"/>
      <c r="E1099" s="25"/>
    </row>
    <row r="1100" spans="1:5" s="15" customFormat="1" ht="12.95" customHeight="1">
      <c r="A1100" s="25" t="s">
        <v>6067</v>
      </c>
      <c r="B1100" s="25"/>
      <c r="C1100" s="25" t="s">
        <v>6068</v>
      </c>
      <c r="D1100" s="25"/>
      <c r="E1100" s="25"/>
    </row>
    <row r="1101" spans="1:5" s="15" customFormat="1" ht="12.95" customHeight="1">
      <c r="A1101" s="25" t="s">
        <v>6069</v>
      </c>
      <c r="B1101" s="25"/>
      <c r="C1101" s="25" t="s">
        <v>6070</v>
      </c>
      <c r="D1101" s="25"/>
      <c r="E1101" s="25"/>
    </row>
    <row r="1102" spans="1:5" s="15" customFormat="1" ht="12.95" customHeight="1">
      <c r="A1102" s="25" t="s">
        <v>6071</v>
      </c>
      <c r="B1102" s="25"/>
      <c r="C1102" s="25" t="s">
        <v>6072</v>
      </c>
      <c r="D1102" s="25"/>
      <c r="E1102" s="25"/>
    </row>
    <row r="1103" spans="1:5" s="15" customFormat="1" ht="12.95" customHeight="1">
      <c r="A1103" s="25" t="s">
        <v>6073</v>
      </c>
      <c r="B1103" s="25"/>
      <c r="C1103" s="25" t="s">
        <v>6074</v>
      </c>
      <c r="D1103" s="25"/>
      <c r="E1103" s="25"/>
    </row>
    <row r="1104" spans="1:5" s="15" customFormat="1" ht="12.95" customHeight="1">
      <c r="A1104" s="25" t="s">
        <v>6075</v>
      </c>
      <c r="B1104" s="25"/>
      <c r="C1104" s="25" t="s">
        <v>6076</v>
      </c>
      <c r="D1104" s="25"/>
      <c r="E1104" s="25"/>
    </row>
    <row r="1105" spans="1:5" s="15" customFormat="1" ht="12.95" customHeight="1">
      <c r="A1105" s="25" t="s">
        <v>6077</v>
      </c>
      <c r="B1105" s="25"/>
      <c r="C1105" s="25" t="s">
        <v>6078</v>
      </c>
      <c r="D1105" s="25"/>
      <c r="E1105" s="25"/>
    </row>
    <row r="1106" spans="1:5" s="15" customFormat="1" ht="12.95" customHeight="1">
      <c r="A1106" s="25" t="s">
        <v>6079</v>
      </c>
      <c r="B1106" s="25"/>
      <c r="C1106" s="25" t="s">
        <v>6080</v>
      </c>
      <c r="D1106" s="25"/>
      <c r="E1106" s="25"/>
    </row>
    <row r="1107" spans="1:5" s="15" customFormat="1" ht="12.95" customHeight="1">
      <c r="A1107" s="25" t="s">
        <v>6081</v>
      </c>
      <c r="B1107" s="25"/>
      <c r="C1107" s="25" t="s">
        <v>6082</v>
      </c>
      <c r="D1107" s="25"/>
      <c r="E1107" s="25"/>
    </row>
    <row r="1108" spans="1:5" s="15" customFormat="1" ht="12.95" customHeight="1">
      <c r="A1108" s="25" t="s">
        <v>6083</v>
      </c>
      <c r="B1108" s="25"/>
      <c r="C1108" s="25" t="s">
        <v>6078</v>
      </c>
      <c r="D1108" s="25"/>
      <c r="E1108" s="25"/>
    </row>
    <row r="1109" spans="1:5" s="15" customFormat="1" ht="12.95" customHeight="1">
      <c r="A1109" s="25" t="s">
        <v>6084</v>
      </c>
      <c r="B1109" s="25"/>
      <c r="C1109" s="25" t="s">
        <v>6080</v>
      </c>
      <c r="D1109" s="25"/>
      <c r="E1109" s="25"/>
    </row>
    <row r="1110" spans="1:5" s="15" customFormat="1" ht="12.95" customHeight="1">
      <c r="A1110" s="25" t="s">
        <v>6085</v>
      </c>
      <c r="B1110" s="25"/>
      <c r="C1110" s="25" t="s">
        <v>6082</v>
      </c>
      <c r="D1110" s="25"/>
      <c r="E1110" s="25"/>
    </row>
    <row r="1111" spans="1:5" s="15" customFormat="1" ht="12.95" customHeight="1">
      <c r="A1111" s="25" t="s">
        <v>6086</v>
      </c>
      <c r="B1111" s="25"/>
      <c r="C1111" s="25" t="s">
        <v>6087</v>
      </c>
      <c r="D1111" s="25"/>
      <c r="E1111" s="25"/>
    </row>
    <row r="1112" spans="1:5" s="15" customFormat="1" ht="12.95" customHeight="1">
      <c r="A1112" s="25" t="s">
        <v>6088</v>
      </c>
      <c r="B1112" s="25"/>
      <c r="C1112" s="25" t="s">
        <v>6089</v>
      </c>
      <c r="D1112" s="25"/>
      <c r="E1112" s="25"/>
    </row>
    <row r="1113" spans="1:5" s="15" customFormat="1" ht="12.95" customHeight="1">
      <c r="A1113" s="25" t="s">
        <v>6090</v>
      </c>
      <c r="B1113" s="25"/>
      <c r="C1113" s="25" t="s">
        <v>6091</v>
      </c>
      <c r="D1113" s="25"/>
      <c r="E1113" s="25"/>
    </row>
    <row r="1114" spans="1:5" s="15" customFormat="1" ht="12.95" customHeight="1">
      <c r="A1114" s="25" t="s">
        <v>6092</v>
      </c>
      <c r="B1114" s="25"/>
      <c r="C1114" s="25" t="s">
        <v>6093</v>
      </c>
      <c r="D1114" s="25"/>
      <c r="E1114" s="25"/>
    </row>
    <row r="1115" spans="1:5" s="15" customFormat="1" ht="12.95" customHeight="1">
      <c r="A1115" s="25" t="s">
        <v>6094</v>
      </c>
      <c r="B1115" s="25"/>
      <c r="C1115" s="25" t="s">
        <v>6095</v>
      </c>
      <c r="D1115" s="25"/>
      <c r="E1115" s="25"/>
    </row>
    <row r="1116" spans="1:5" s="15" customFormat="1" ht="12.95" customHeight="1">
      <c r="A1116" s="25" t="s">
        <v>6096</v>
      </c>
      <c r="B1116" s="25"/>
      <c r="C1116" s="25" t="s">
        <v>6097</v>
      </c>
      <c r="D1116" s="25"/>
      <c r="E1116" s="25"/>
    </row>
    <row r="1117" spans="1:5" s="15" customFormat="1" ht="12.95" customHeight="1">
      <c r="A1117" s="25" t="s">
        <v>6098</v>
      </c>
      <c r="B1117" s="25"/>
      <c r="C1117" s="25" t="s">
        <v>6099</v>
      </c>
      <c r="D1117" s="25"/>
      <c r="E1117" s="25"/>
    </row>
    <row r="1118" spans="1:5" s="15" customFormat="1" ht="12.95" customHeight="1">
      <c r="A1118" s="25" t="s">
        <v>6100</v>
      </c>
      <c r="B1118" s="25"/>
      <c r="C1118" s="25" t="s">
        <v>6101</v>
      </c>
      <c r="D1118" s="25"/>
      <c r="E1118" s="25"/>
    </row>
    <row r="1119" spans="1:5" s="15" customFormat="1" ht="12.95" customHeight="1">
      <c r="A1119" s="25" t="s">
        <v>6102</v>
      </c>
      <c r="B1119" s="25"/>
      <c r="C1119" s="25" t="s">
        <v>6103</v>
      </c>
      <c r="D1119" s="25"/>
      <c r="E1119" s="25"/>
    </row>
    <row r="1120" spans="1:5" s="15" customFormat="1" ht="12.95" customHeight="1">
      <c r="A1120" s="25" t="s">
        <v>6104</v>
      </c>
      <c r="B1120" s="25"/>
      <c r="C1120" s="25" t="s">
        <v>6105</v>
      </c>
      <c r="D1120" s="25"/>
      <c r="E1120" s="25"/>
    </row>
    <row r="1121" spans="1:5" s="15" customFormat="1" ht="12.95" customHeight="1">
      <c r="A1121" s="25" t="s">
        <v>6106</v>
      </c>
      <c r="B1121" s="25"/>
      <c r="C1121" s="25" t="s">
        <v>6105</v>
      </c>
      <c r="D1121" s="25"/>
      <c r="E1121" s="25"/>
    </row>
    <row r="1122" spans="1:5" s="15" customFormat="1" ht="12.95" customHeight="1">
      <c r="A1122" s="25" t="s">
        <v>6107</v>
      </c>
      <c r="B1122" s="25"/>
      <c r="C1122" s="25" t="s">
        <v>6108</v>
      </c>
      <c r="D1122" s="25"/>
      <c r="E1122" s="25"/>
    </row>
    <row r="1123" spans="1:5" s="15" customFormat="1" ht="12.95" customHeight="1">
      <c r="A1123" s="25" t="s">
        <v>6109</v>
      </c>
      <c r="B1123" s="25"/>
      <c r="C1123" s="25" t="s">
        <v>6110</v>
      </c>
      <c r="D1123" s="25"/>
      <c r="E1123" s="25"/>
    </row>
    <row r="1124" spans="1:5" s="15" customFormat="1" ht="12.95" customHeight="1">
      <c r="A1124" s="25" t="s">
        <v>6111</v>
      </c>
      <c r="B1124" s="25"/>
      <c r="C1124" s="25" t="s">
        <v>6112</v>
      </c>
      <c r="D1124" s="25"/>
      <c r="E1124" s="25"/>
    </row>
    <row r="1125" spans="1:5" s="15" customFormat="1" ht="12.95" customHeight="1">
      <c r="A1125" s="25" t="s">
        <v>6113</v>
      </c>
      <c r="B1125" s="25"/>
      <c r="C1125" s="25" t="s">
        <v>6114</v>
      </c>
      <c r="D1125" s="25"/>
      <c r="E1125" s="25"/>
    </row>
    <row r="1126" spans="1:5" s="15" customFormat="1" ht="12.95" customHeight="1">
      <c r="A1126" s="25" t="s">
        <v>6113</v>
      </c>
      <c r="B1126" s="25"/>
      <c r="C1126" s="25" t="s">
        <v>6114</v>
      </c>
      <c r="D1126" s="25"/>
      <c r="E1126" s="25"/>
    </row>
    <row r="1127" spans="1:5" s="15" customFormat="1" ht="12.95" customHeight="1">
      <c r="A1127" s="25" t="s">
        <v>6115</v>
      </c>
      <c r="B1127" s="25"/>
      <c r="C1127" s="25" t="s">
        <v>6116</v>
      </c>
      <c r="D1127" s="25"/>
      <c r="E1127" s="25"/>
    </row>
    <row r="1128" spans="1:5" s="15" customFormat="1" ht="12.95" customHeight="1">
      <c r="A1128" s="25" t="s">
        <v>6117</v>
      </c>
      <c r="B1128" s="25"/>
      <c r="C1128" s="25" t="s">
        <v>6118</v>
      </c>
      <c r="D1128" s="25"/>
      <c r="E1128" s="25"/>
    </row>
    <row r="1129" spans="1:5" s="15" customFormat="1" ht="12.95" customHeight="1">
      <c r="A1129" s="25" t="s">
        <v>6119</v>
      </c>
      <c r="B1129" s="25"/>
      <c r="C1129" s="25" t="s">
        <v>6120</v>
      </c>
      <c r="D1129" s="25"/>
      <c r="E1129" s="25"/>
    </row>
    <row r="1130" spans="1:5" s="15" customFormat="1" ht="12.95" customHeight="1">
      <c r="A1130" s="25" t="s">
        <v>6121</v>
      </c>
      <c r="B1130" s="25"/>
      <c r="C1130" s="25" t="s">
        <v>6122</v>
      </c>
      <c r="D1130" s="25"/>
      <c r="E1130" s="25"/>
    </row>
    <row r="1131" spans="1:5" s="15" customFormat="1" ht="12.95" customHeight="1">
      <c r="A1131" s="25" t="s">
        <v>6123</v>
      </c>
      <c r="B1131" s="25"/>
      <c r="C1131" s="25" t="s">
        <v>6124</v>
      </c>
      <c r="D1131" s="25"/>
      <c r="E1131" s="25"/>
    </row>
    <row r="1132" spans="1:5" s="15" customFormat="1" ht="12.95" customHeight="1">
      <c r="A1132" s="25" t="s">
        <v>6125</v>
      </c>
      <c r="B1132" s="25"/>
      <c r="C1132" s="25" t="s">
        <v>6126</v>
      </c>
      <c r="D1132" s="25"/>
      <c r="E1132" s="25"/>
    </row>
    <row r="1133" spans="1:5" s="15" customFormat="1" ht="12.95" customHeight="1">
      <c r="A1133" s="25" t="s">
        <v>6127</v>
      </c>
      <c r="B1133" s="25"/>
      <c r="C1133" s="25" t="s">
        <v>6122</v>
      </c>
      <c r="D1133" s="25"/>
      <c r="E1133" s="25"/>
    </row>
    <row r="1134" spans="1:5" s="15" customFormat="1" ht="12.95" customHeight="1">
      <c r="A1134" s="25" t="s">
        <v>6128</v>
      </c>
      <c r="B1134" s="25"/>
      <c r="C1134" s="25" t="s">
        <v>6129</v>
      </c>
      <c r="D1134" s="25"/>
      <c r="E1134" s="25"/>
    </row>
    <row r="1135" spans="1:5" s="15" customFormat="1" ht="12.95" customHeight="1">
      <c r="A1135" s="25" t="s">
        <v>6130</v>
      </c>
      <c r="B1135" s="25"/>
      <c r="C1135" s="25" t="s">
        <v>6124</v>
      </c>
      <c r="D1135" s="25"/>
      <c r="E1135" s="25"/>
    </row>
    <row r="1136" spans="1:5" s="15" customFormat="1" ht="12.95" customHeight="1">
      <c r="A1136" s="25" t="s">
        <v>6131</v>
      </c>
      <c r="B1136" s="25"/>
      <c r="C1136" s="25" t="s">
        <v>6126</v>
      </c>
      <c r="D1136" s="25"/>
      <c r="E1136" s="25"/>
    </row>
    <row r="1137" spans="1:5" s="15" customFormat="1" ht="12.95" customHeight="1">
      <c r="A1137" s="25" t="s">
        <v>6132</v>
      </c>
      <c r="B1137" s="25"/>
      <c r="C1137" s="25" t="s">
        <v>6133</v>
      </c>
      <c r="D1137" s="25"/>
      <c r="E1137" s="25"/>
    </row>
    <row r="1138" spans="1:5" s="15" customFormat="1" ht="12.95" customHeight="1">
      <c r="A1138" s="25" t="s">
        <v>6134</v>
      </c>
      <c r="B1138" s="25"/>
      <c r="C1138" s="25" t="s">
        <v>6135</v>
      </c>
      <c r="D1138" s="25"/>
      <c r="E1138" s="25"/>
    </row>
    <row r="1139" spans="1:5" s="15" customFormat="1" ht="12.95" customHeight="1">
      <c r="A1139" s="25" t="s">
        <v>6136</v>
      </c>
      <c r="B1139" s="25"/>
      <c r="C1139" s="25" t="s">
        <v>6137</v>
      </c>
      <c r="D1139" s="25"/>
      <c r="E1139" s="25"/>
    </row>
    <row r="1140" spans="1:5" s="15" customFormat="1" ht="12.95" customHeight="1">
      <c r="A1140" s="25" t="s">
        <v>6138</v>
      </c>
      <c r="B1140" s="25"/>
      <c r="C1140" s="25" t="s">
        <v>6139</v>
      </c>
      <c r="D1140" s="25"/>
      <c r="E1140" s="25"/>
    </row>
    <row r="1141" spans="1:5" s="15" customFormat="1" ht="12.95" customHeight="1">
      <c r="A1141" s="25" t="s">
        <v>6140</v>
      </c>
      <c r="B1141" s="25"/>
      <c r="C1141" s="25" t="s">
        <v>6141</v>
      </c>
      <c r="D1141" s="25"/>
      <c r="E1141" s="25"/>
    </row>
    <row r="1142" spans="1:5" s="15" customFormat="1" ht="12.95" customHeight="1">
      <c r="A1142" s="25" t="s">
        <v>6142</v>
      </c>
      <c r="B1142" s="25"/>
      <c r="C1142" s="25" t="s">
        <v>6143</v>
      </c>
      <c r="D1142" s="25"/>
      <c r="E1142" s="25"/>
    </row>
    <row r="1143" spans="1:5" s="15" customFormat="1" ht="12.95" customHeight="1">
      <c r="A1143" s="25" t="s">
        <v>6144</v>
      </c>
      <c r="B1143" s="25"/>
      <c r="C1143" s="25" t="s">
        <v>6145</v>
      </c>
      <c r="D1143" s="25"/>
      <c r="E1143" s="25"/>
    </row>
    <row r="1144" spans="1:5" s="15" customFormat="1" ht="12.95" customHeight="1">
      <c r="A1144" s="25" t="s">
        <v>6146</v>
      </c>
      <c r="B1144" s="25"/>
      <c r="C1144" s="25" t="s">
        <v>6147</v>
      </c>
      <c r="D1144" s="25"/>
      <c r="E1144" s="25"/>
    </row>
    <row r="1145" spans="1:5" s="15" customFormat="1" ht="12.95" customHeight="1">
      <c r="A1145" s="25" t="s">
        <v>6148</v>
      </c>
      <c r="B1145" s="25"/>
      <c r="C1145" s="25" t="s">
        <v>6149</v>
      </c>
      <c r="D1145" s="25"/>
      <c r="E1145" s="25"/>
    </row>
    <row r="1146" spans="1:5" s="15" customFormat="1" ht="12.95" customHeight="1">
      <c r="A1146" s="25" t="s">
        <v>6150</v>
      </c>
      <c r="B1146" s="25"/>
      <c r="C1146" s="25" t="s">
        <v>6151</v>
      </c>
      <c r="D1146" s="25"/>
      <c r="E1146" s="25"/>
    </row>
    <row r="1147" spans="1:5" s="15" customFormat="1" ht="12.95" customHeight="1">
      <c r="A1147" s="25" t="s">
        <v>6152</v>
      </c>
      <c r="B1147" s="25"/>
      <c r="C1147" s="25" t="s">
        <v>6153</v>
      </c>
      <c r="D1147" s="25"/>
      <c r="E1147" s="25"/>
    </row>
    <row r="1148" spans="1:5" s="15" customFormat="1" ht="12.95" customHeight="1">
      <c r="A1148" s="25" t="s">
        <v>6154</v>
      </c>
      <c r="B1148" s="25"/>
      <c r="C1148" s="25" t="s">
        <v>6155</v>
      </c>
      <c r="D1148" s="25"/>
      <c r="E1148" s="25"/>
    </row>
    <row r="1149" spans="1:5" s="15" customFormat="1" ht="12.95" customHeight="1">
      <c r="A1149" s="25" t="s">
        <v>6156</v>
      </c>
      <c r="B1149" s="25"/>
      <c r="C1149" s="25" t="s">
        <v>6157</v>
      </c>
      <c r="D1149" s="25"/>
      <c r="E1149" s="25"/>
    </row>
    <row r="1150" spans="1:5" s="15" customFormat="1" ht="12.95" customHeight="1">
      <c r="A1150" s="25" t="s">
        <v>6158</v>
      </c>
      <c r="B1150" s="25"/>
      <c r="C1150" s="25" t="s">
        <v>6159</v>
      </c>
      <c r="D1150" s="25"/>
      <c r="E1150" s="25"/>
    </row>
    <row r="1151" spans="1:5" s="15" customFormat="1" ht="12.95" customHeight="1">
      <c r="A1151" s="25" t="s">
        <v>6160</v>
      </c>
      <c r="B1151" s="25"/>
      <c r="C1151" s="25" t="s">
        <v>6161</v>
      </c>
      <c r="D1151" s="25"/>
      <c r="E1151" s="25"/>
    </row>
    <row r="1152" spans="1:5" s="15" customFormat="1" ht="12.95" customHeight="1">
      <c r="A1152" s="25" t="s">
        <v>6162</v>
      </c>
      <c r="B1152" s="25"/>
      <c r="C1152" s="25" t="s">
        <v>6163</v>
      </c>
      <c r="D1152" s="25"/>
      <c r="E1152" s="25"/>
    </row>
    <row r="1153" spans="1:5" s="15" customFormat="1" ht="12.95" customHeight="1">
      <c r="A1153" s="25" t="s">
        <v>6164</v>
      </c>
      <c r="B1153" s="25"/>
      <c r="C1153" s="25" t="s">
        <v>6165</v>
      </c>
      <c r="D1153" s="25"/>
      <c r="E1153" s="25"/>
    </row>
    <row r="1154" spans="1:5" s="15" customFormat="1" ht="12.95" customHeight="1">
      <c r="A1154" s="25" t="s">
        <v>6166</v>
      </c>
      <c r="B1154" s="25"/>
      <c r="C1154" s="25" t="s">
        <v>6167</v>
      </c>
      <c r="D1154" s="25"/>
      <c r="E1154" s="25"/>
    </row>
    <row r="1155" spans="1:5" s="15" customFormat="1" ht="12.95" customHeight="1">
      <c r="A1155" s="25" t="s">
        <v>4546</v>
      </c>
      <c r="B1155" s="25"/>
      <c r="C1155" s="25" t="s">
        <v>6168</v>
      </c>
      <c r="D1155" s="25"/>
      <c r="E1155" s="25"/>
    </row>
    <row r="1156" spans="1:5" s="15" customFormat="1" ht="12.95" customHeight="1">
      <c r="A1156" s="25" t="s">
        <v>6169</v>
      </c>
      <c r="B1156" s="25"/>
      <c r="C1156" s="25" t="s">
        <v>6161</v>
      </c>
      <c r="D1156" s="25"/>
      <c r="E1156" s="25"/>
    </row>
    <row r="1157" spans="1:5" s="15" customFormat="1" ht="12.95" customHeight="1">
      <c r="A1157" s="25" t="s">
        <v>6170</v>
      </c>
      <c r="B1157" s="25"/>
      <c r="C1157" s="25" t="s">
        <v>6163</v>
      </c>
      <c r="D1157" s="25"/>
      <c r="E1157" s="25"/>
    </row>
    <row r="1158" spans="1:5" s="15" customFormat="1" ht="12.95" customHeight="1">
      <c r="A1158" s="25" t="s">
        <v>6171</v>
      </c>
      <c r="B1158" s="25"/>
      <c r="C1158" s="25" t="s">
        <v>6165</v>
      </c>
      <c r="D1158" s="25"/>
      <c r="E1158" s="25"/>
    </row>
    <row r="1159" spans="1:5" s="15" customFormat="1" ht="12.95" customHeight="1">
      <c r="A1159" s="25" t="s">
        <v>6172</v>
      </c>
      <c r="B1159" s="25"/>
      <c r="C1159" s="25" t="s">
        <v>6167</v>
      </c>
      <c r="D1159" s="25"/>
      <c r="E1159" s="25"/>
    </row>
    <row r="1160" spans="1:5" s="15" customFormat="1" ht="12.95" customHeight="1">
      <c r="A1160" s="25" t="s">
        <v>6173</v>
      </c>
      <c r="B1160" s="25"/>
      <c r="C1160" s="25" t="s">
        <v>6168</v>
      </c>
      <c r="D1160" s="25"/>
      <c r="E1160" s="25"/>
    </row>
    <row r="1161" spans="1:5" s="15" customFormat="1" ht="12.95" customHeight="1">
      <c r="A1161" s="25" t="s">
        <v>6174</v>
      </c>
      <c r="B1161" s="25"/>
      <c r="C1161" s="25" t="s">
        <v>6175</v>
      </c>
      <c r="D1161" s="25"/>
      <c r="E1161" s="25"/>
    </row>
    <row r="1162" spans="1:5" s="15" customFormat="1" ht="12.95" customHeight="1">
      <c r="A1162" s="25" t="s">
        <v>6176</v>
      </c>
      <c r="B1162" s="25"/>
      <c r="C1162" s="25" t="s">
        <v>6177</v>
      </c>
      <c r="D1162" s="25"/>
      <c r="E1162" s="25"/>
    </row>
    <row r="1163" spans="1:5" s="15" customFormat="1" ht="12.95" customHeight="1">
      <c r="A1163" s="25" t="s">
        <v>6178</v>
      </c>
      <c r="B1163" s="25"/>
      <c r="C1163" s="25" t="s">
        <v>6179</v>
      </c>
      <c r="D1163" s="25"/>
      <c r="E1163" s="25"/>
    </row>
    <row r="1164" spans="1:5" s="15" customFormat="1" ht="12.95" customHeight="1">
      <c r="A1164" s="25" t="s">
        <v>6180</v>
      </c>
      <c r="B1164" s="25"/>
      <c r="C1164" s="25" t="s">
        <v>6181</v>
      </c>
      <c r="D1164" s="25"/>
      <c r="E1164" s="25"/>
    </row>
    <row r="1165" spans="1:5" s="15" customFormat="1" ht="12.95" customHeight="1">
      <c r="A1165" s="25" t="s">
        <v>6182</v>
      </c>
      <c r="B1165" s="25"/>
      <c r="C1165" s="25" t="s">
        <v>6183</v>
      </c>
      <c r="D1165" s="25"/>
      <c r="E1165" s="25"/>
    </row>
    <row r="1166" spans="1:5" s="15" customFormat="1" ht="12.95" customHeight="1">
      <c r="A1166" s="25" t="s">
        <v>6184</v>
      </c>
      <c r="B1166" s="25"/>
      <c r="C1166" s="25" t="s">
        <v>6167</v>
      </c>
      <c r="D1166" s="25"/>
      <c r="E1166" s="25"/>
    </row>
    <row r="1167" spans="1:5" s="15" customFormat="1" ht="12.95" customHeight="1">
      <c r="A1167" s="25" t="s">
        <v>6185</v>
      </c>
      <c r="B1167" s="25"/>
      <c r="C1167" s="25" t="s">
        <v>6186</v>
      </c>
      <c r="D1167" s="25"/>
      <c r="E1167" s="25"/>
    </row>
    <row r="1168" spans="1:5" s="15" customFormat="1" ht="12.95" customHeight="1">
      <c r="A1168" s="25" t="s">
        <v>6187</v>
      </c>
      <c r="B1168" s="25"/>
      <c r="C1168" s="25" t="s">
        <v>6188</v>
      </c>
      <c r="D1168" s="25"/>
      <c r="E1168" s="25"/>
    </row>
    <row r="1169" spans="1:5" s="15" customFormat="1" ht="12.95" customHeight="1">
      <c r="A1169" s="25" t="s">
        <v>6189</v>
      </c>
      <c r="B1169" s="25"/>
      <c r="C1169" s="25" t="s">
        <v>6190</v>
      </c>
      <c r="D1169" s="25"/>
      <c r="E1169" s="25"/>
    </row>
    <row r="1170" spans="1:5" s="15" customFormat="1" ht="12.95" customHeight="1">
      <c r="A1170" s="25" t="s">
        <v>6191</v>
      </c>
      <c r="B1170" s="25"/>
      <c r="C1170" s="25" t="s">
        <v>6190</v>
      </c>
      <c r="D1170" s="25"/>
      <c r="E1170" s="25"/>
    </row>
    <row r="1171" spans="1:5" s="15" customFormat="1" ht="12.95" customHeight="1">
      <c r="A1171" s="25" t="s">
        <v>6192</v>
      </c>
      <c r="B1171" s="25"/>
      <c r="C1171" s="25" t="s">
        <v>6193</v>
      </c>
      <c r="D1171" s="25"/>
      <c r="E1171" s="25"/>
    </row>
    <row r="1172" spans="1:5" s="15" customFormat="1" ht="12.95" customHeight="1">
      <c r="A1172" s="25" t="s">
        <v>6194</v>
      </c>
      <c r="B1172" s="25"/>
      <c r="C1172" s="25" t="s">
        <v>6195</v>
      </c>
      <c r="D1172" s="25"/>
      <c r="E1172" s="25"/>
    </row>
    <row r="1173" spans="1:5" s="15" customFormat="1" ht="12.95" customHeight="1">
      <c r="A1173" s="25" t="s">
        <v>6196</v>
      </c>
      <c r="B1173" s="25"/>
      <c r="C1173" s="25" t="s">
        <v>6197</v>
      </c>
      <c r="D1173" s="25"/>
      <c r="E1173" s="25"/>
    </row>
    <row r="1174" spans="1:5" s="15" customFormat="1" ht="12.95" customHeight="1">
      <c r="A1174" s="25" t="s">
        <v>6198</v>
      </c>
      <c r="B1174" s="25"/>
      <c r="C1174" s="25" t="s">
        <v>6199</v>
      </c>
      <c r="D1174" s="25"/>
      <c r="E1174" s="25"/>
    </row>
    <row r="1175" spans="1:5" s="15" customFormat="1" ht="12.95" customHeight="1">
      <c r="A1175" s="25" t="s">
        <v>6200</v>
      </c>
      <c r="B1175" s="25"/>
      <c r="C1175" s="25" t="s">
        <v>6197</v>
      </c>
      <c r="D1175" s="25"/>
      <c r="E1175" s="25"/>
    </row>
    <row r="1176" spans="1:5" s="15" customFormat="1" ht="12.95" customHeight="1">
      <c r="A1176" s="25" t="s">
        <v>6201</v>
      </c>
      <c r="B1176" s="25"/>
      <c r="C1176" s="25" t="s">
        <v>6202</v>
      </c>
      <c r="D1176" s="25"/>
      <c r="E1176" s="25"/>
    </row>
    <row r="1177" spans="1:5" s="15" customFormat="1" ht="12.95" customHeight="1">
      <c r="A1177" s="25" t="s">
        <v>6203</v>
      </c>
      <c r="B1177" s="25"/>
      <c r="C1177" s="25" t="s">
        <v>6204</v>
      </c>
      <c r="D1177" s="25"/>
      <c r="E1177" s="25"/>
    </row>
    <row r="1178" spans="1:5" s="15" customFormat="1" ht="12.95" customHeight="1">
      <c r="A1178" s="25" t="s">
        <v>6205</v>
      </c>
      <c r="B1178" s="25"/>
      <c r="C1178" s="25" t="s">
        <v>6206</v>
      </c>
      <c r="D1178" s="25"/>
      <c r="E1178" s="25"/>
    </row>
    <row r="1179" spans="1:5" s="15" customFormat="1" ht="12.95" customHeight="1">
      <c r="A1179" s="25" t="s">
        <v>6207</v>
      </c>
      <c r="B1179" s="25"/>
      <c r="C1179" s="25" t="s">
        <v>6208</v>
      </c>
      <c r="D1179" s="25"/>
      <c r="E1179" s="25"/>
    </row>
    <row r="1180" spans="1:5" s="15" customFormat="1" ht="12.95" customHeight="1">
      <c r="A1180" s="25" t="s">
        <v>6209</v>
      </c>
      <c r="B1180" s="25"/>
      <c r="C1180" s="25" t="s">
        <v>6210</v>
      </c>
      <c r="D1180" s="25"/>
      <c r="E1180" s="25"/>
    </row>
    <row r="1181" spans="1:5" s="15" customFormat="1" ht="12.95" customHeight="1">
      <c r="A1181" s="25" t="s">
        <v>6211</v>
      </c>
      <c r="B1181" s="25"/>
      <c r="C1181" s="25" t="s">
        <v>6212</v>
      </c>
      <c r="D1181" s="25"/>
      <c r="E1181" s="25"/>
    </row>
    <row r="1182" spans="1:5" s="15" customFormat="1" ht="12.95" customHeight="1">
      <c r="A1182" s="25" t="s">
        <v>6213</v>
      </c>
      <c r="B1182" s="25"/>
      <c r="C1182" s="25" t="s">
        <v>6214</v>
      </c>
      <c r="D1182" s="25"/>
      <c r="E1182" s="25"/>
    </row>
    <row r="1183" spans="1:5" s="15" customFormat="1" ht="12.95" customHeight="1">
      <c r="A1183" s="25" t="s">
        <v>6215</v>
      </c>
      <c r="B1183" s="25"/>
      <c r="C1183" s="25" t="s">
        <v>6216</v>
      </c>
      <c r="D1183" s="25"/>
      <c r="E1183" s="25"/>
    </row>
    <row r="1184" spans="1:5" s="15" customFormat="1" ht="12.95" customHeight="1">
      <c r="A1184" s="25" t="s">
        <v>6217</v>
      </c>
      <c r="B1184" s="25"/>
      <c r="C1184" s="25" t="s">
        <v>6218</v>
      </c>
      <c r="D1184" s="25"/>
      <c r="E1184" s="25"/>
    </row>
    <row r="1185" spans="1:5" s="15" customFormat="1" ht="12.95" customHeight="1">
      <c r="A1185" s="25" t="s">
        <v>6219</v>
      </c>
      <c r="B1185" s="25"/>
      <c r="C1185" s="25" t="s">
        <v>6220</v>
      </c>
      <c r="D1185" s="25"/>
      <c r="E1185" s="25"/>
    </row>
    <row r="1186" spans="1:5" s="15" customFormat="1" ht="12.95" customHeight="1">
      <c r="A1186" s="25" t="s">
        <v>6221</v>
      </c>
      <c r="B1186" s="25"/>
      <c r="C1186" s="25" t="s">
        <v>6222</v>
      </c>
      <c r="D1186" s="25"/>
      <c r="E1186" s="25"/>
    </row>
    <row r="1187" spans="1:5" s="15" customFormat="1" ht="12.95" customHeight="1">
      <c r="A1187" s="25" t="s">
        <v>6223</v>
      </c>
      <c r="B1187" s="25"/>
      <c r="C1187" s="25" t="s">
        <v>6224</v>
      </c>
      <c r="D1187" s="25"/>
      <c r="E1187" s="25"/>
    </row>
    <row r="1188" spans="1:5" s="15" customFormat="1" ht="12.95" customHeight="1">
      <c r="A1188" s="25" t="s">
        <v>6225</v>
      </c>
      <c r="B1188" s="25"/>
      <c r="C1188" s="25" t="s">
        <v>6226</v>
      </c>
      <c r="D1188" s="25"/>
      <c r="E1188" s="25"/>
    </row>
    <row r="1189" spans="1:5" s="15" customFormat="1" ht="12.95" customHeight="1">
      <c r="A1189" s="25" t="s">
        <v>6227</v>
      </c>
      <c r="B1189" s="25"/>
      <c r="C1189" s="25" t="s">
        <v>6228</v>
      </c>
      <c r="D1189" s="25"/>
      <c r="E1189" s="25"/>
    </row>
    <row r="1190" spans="1:5" s="15" customFormat="1" ht="12.95" customHeight="1">
      <c r="A1190" s="25" t="s">
        <v>6229</v>
      </c>
      <c r="B1190" s="25"/>
      <c r="C1190" s="25" t="s">
        <v>6230</v>
      </c>
      <c r="D1190" s="25"/>
      <c r="E1190" s="25"/>
    </row>
    <row r="1191" spans="1:5" s="15" customFormat="1" ht="12.95" customHeight="1">
      <c r="A1191" s="25" t="s">
        <v>2780</v>
      </c>
      <c r="B1191" s="25"/>
      <c r="C1191" s="25" t="s">
        <v>6214</v>
      </c>
      <c r="D1191" s="25"/>
      <c r="E1191" s="25"/>
    </row>
    <row r="1192" spans="1:5" s="15" customFormat="1" ht="12.95" customHeight="1">
      <c r="A1192" s="25" t="s">
        <v>6231</v>
      </c>
      <c r="B1192" s="25"/>
      <c r="C1192" s="25" t="s">
        <v>6232</v>
      </c>
      <c r="D1192" s="25"/>
      <c r="E1192" s="25"/>
    </row>
    <row r="1193" spans="1:5" s="15" customFormat="1" ht="12.95" customHeight="1">
      <c r="A1193" s="25" t="s">
        <v>2773</v>
      </c>
      <c r="B1193" s="25"/>
      <c r="C1193" s="25" t="s">
        <v>6233</v>
      </c>
      <c r="D1193" s="25"/>
      <c r="E1193" s="25"/>
    </row>
    <row r="1194" spans="1:5" s="15" customFormat="1" ht="12.95" customHeight="1">
      <c r="A1194" s="25" t="s">
        <v>6234</v>
      </c>
      <c r="B1194" s="25"/>
      <c r="C1194" s="25" t="s">
        <v>6216</v>
      </c>
      <c r="D1194" s="25"/>
      <c r="E1194" s="25"/>
    </row>
    <row r="1195" spans="1:5" s="15" customFormat="1" ht="12.95" customHeight="1">
      <c r="A1195" s="25" t="s">
        <v>6235</v>
      </c>
      <c r="B1195" s="25"/>
      <c r="C1195" s="25" t="s">
        <v>6236</v>
      </c>
      <c r="D1195" s="25"/>
      <c r="E1195" s="25"/>
    </row>
    <row r="1196" spans="1:5" s="15" customFormat="1" ht="12.95" customHeight="1">
      <c r="A1196" s="25" t="s">
        <v>6237</v>
      </c>
      <c r="B1196" s="25"/>
      <c r="C1196" s="25" t="s">
        <v>6238</v>
      </c>
      <c r="D1196" s="25"/>
      <c r="E1196" s="25"/>
    </row>
    <row r="1197" spans="1:5" s="15" customFormat="1" ht="12.95" customHeight="1">
      <c r="A1197" s="25" t="s">
        <v>6239</v>
      </c>
      <c r="B1197" s="25"/>
      <c r="C1197" s="25" t="s">
        <v>6214</v>
      </c>
      <c r="D1197" s="25"/>
      <c r="E1197" s="25"/>
    </row>
    <row r="1198" spans="1:5" s="15" customFormat="1" ht="12.95" customHeight="1">
      <c r="A1198" s="25" t="s">
        <v>6240</v>
      </c>
      <c r="B1198" s="25"/>
      <c r="C1198" s="25" t="s">
        <v>6232</v>
      </c>
      <c r="D1198" s="25"/>
      <c r="E1198" s="25"/>
    </row>
    <row r="1199" spans="1:5" s="15" customFormat="1" ht="12.95" customHeight="1">
      <c r="A1199" s="25" t="s">
        <v>6241</v>
      </c>
      <c r="B1199" s="25"/>
      <c r="C1199" s="25" t="s">
        <v>6233</v>
      </c>
      <c r="D1199" s="25"/>
      <c r="E1199" s="25"/>
    </row>
    <row r="1200" spans="1:5" s="15" customFormat="1" ht="12.95" customHeight="1">
      <c r="A1200" s="25" t="s">
        <v>6242</v>
      </c>
      <c r="B1200" s="25"/>
      <c r="C1200" s="25" t="s">
        <v>6236</v>
      </c>
      <c r="D1200" s="25"/>
      <c r="E1200" s="25"/>
    </row>
    <row r="1201" spans="1:5" s="15" customFormat="1" ht="12.95" customHeight="1">
      <c r="A1201" s="25" t="s">
        <v>6243</v>
      </c>
      <c r="B1201" s="25"/>
      <c r="C1201" s="25" t="s">
        <v>6244</v>
      </c>
      <c r="D1201" s="25"/>
      <c r="E1201" s="25"/>
    </row>
    <row r="1202" spans="1:5" s="15" customFormat="1" ht="12.95" customHeight="1">
      <c r="A1202" s="25" t="s">
        <v>6245</v>
      </c>
      <c r="B1202" s="25"/>
      <c r="C1202" s="25" t="s">
        <v>6246</v>
      </c>
      <c r="D1202" s="25"/>
      <c r="E1202" s="25"/>
    </row>
    <row r="1203" spans="1:5" s="15" customFormat="1" ht="12.95" customHeight="1">
      <c r="A1203" s="25" t="s">
        <v>6247</v>
      </c>
      <c r="B1203" s="25"/>
      <c r="C1203" s="25" t="s">
        <v>6248</v>
      </c>
      <c r="D1203" s="25"/>
      <c r="E1203" s="25"/>
    </row>
    <row r="1204" spans="1:5" s="15" customFormat="1" ht="12.95" customHeight="1">
      <c r="A1204" s="25" t="s">
        <v>6249</v>
      </c>
      <c r="B1204" s="25"/>
      <c r="C1204" s="25" t="s">
        <v>6250</v>
      </c>
      <c r="D1204" s="25"/>
      <c r="E1204" s="25"/>
    </row>
    <row r="1205" spans="1:5" s="15" customFormat="1" ht="12.95" customHeight="1">
      <c r="A1205" s="25" t="s">
        <v>6251</v>
      </c>
      <c r="B1205" s="25"/>
      <c r="C1205" s="25" t="s">
        <v>6252</v>
      </c>
      <c r="D1205" s="25"/>
      <c r="E1205" s="25"/>
    </row>
    <row r="1206" spans="1:5" s="15" customFormat="1" ht="12.95" customHeight="1">
      <c r="A1206" s="25" t="s">
        <v>6253</v>
      </c>
      <c r="B1206" s="25"/>
      <c r="C1206" s="25" t="s">
        <v>6254</v>
      </c>
      <c r="D1206" s="25"/>
      <c r="E1206" s="25"/>
    </row>
    <row r="1207" spans="1:5" s="15" customFormat="1" ht="12.95" customHeight="1">
      <c r="A1207" s="25" t="s">
        <v>6255</v>
      </c>
      <c r="B1207" s="25"/>
      <c r="C1207" s="25" t="s">
        <v>6252</v>
      </c>
      <c r="D1207" s="25"/>
      <c r="E1207" s="25"/>
    </row>
    <row r="1208" spans="1:5" s="15" customFormat="1" ht="12.95" customHeight="1">
      <c r="A1208" s="25" t="s">
        <v>6256</v>
      </c>
      <c r="B1208" s="25"/>
      <c r="C1208" s="25" t="s">
        <v>6254</v>
      </c>
      <c r="D1208" s="25"/>
      <c r="E1208" s="25"/>
    </row>
    <row r="1209" spans="1:5" s="15" customFormat="1" ht="12.95" customHeight="1">
      <c r="A1209" s="25" t="s">
        <v>6257</v>
      </c>
      <c r="B1209" s="25"/>
      <c r="C1209" s="25" t="s">
        <v>6258</v>
      </c>
      <c r="D1209" s="25"/>
      <c r="E1209" s="25"/>
    </row>
    <row r="1210" spans="1:5" s="15" customFormat="1" ht="12.95" customHeight="1">
      <c r="A1210" s="25" t="s">
        <v>6259</v>
      </c>
      <c r="B1210" s="25"/>
      <c r="C1210" s="25" t="s">
        <v>6260</v>
      </c>
      <c r="D1210" s="25"/>
      <c r="E1210" s="25"/>
    </row>
    <row r="1211" spans="1:5" s="15" customFormat="1" ht="12.95" customHeight="1">
      <c r="A1211" s="25" t="s">
        <v>6261</v>
      </c>
      <c r="B1211" s="25"/>
      <c r="C1211" s="25" t="s">
        <v>6262</v>
      </c>
      <c r="D1211" s="25"/>
      <c r="E1211" s="25"/>
    </row>
    <row r="1212" spans="1:5" s="15" customFormat="1" ht="12.95" customHeight="1">
      <c r="A1212" s="25" t="s">
        <v>6263</v>
      </c>
      <c r="B1212" s="25"/>
      <c r="C1212" s="25" t="s">
        <v>6264</v>
      </c>
      <c r="D1212" s="25"/>
      <c r="E1212" s="25"/>
    </row>
    <row r="1213" spans="1:5" s="15" customFormat="1" ht="12.95" customHeight="1">
      <c r="A1213" s="25" t="s">
        <v>6263</v>
      </c>
      <c r="B1213" s="25"/>
      <c r="C1213" s="25" t="s">
        <v>6264</v>
      </c>
      <c r="D1213" s="25"/>
      <c r="E1213" s="25"/>
    </row>
    <row r="1214" spans="1:5" s="15" customFormat="1" ht="12.95" customHeight="1">
      <c r="A1214" s="25" t="s">
        <v>6265</v>
      </c>
      <c r="B1214" s="25"/>
      <c r="C1214" s="25" t="s">
        <v>6266</v>
      </c>
      <c r="D1214" s="25"/>
      <c r="E1214" s="25"/>
    </row>
    <row r="1215" spans="1:5" s="15" customFormat="1" ht="12.95" customHeight="1">
      <c r="A1215" s="25" t="s">
        <v>6267</v>
      </c>
      <c r="B1215" s="25"/>
      <c r="C1215" s="25" t="s">
        <v>6268</v>
      </c>
      <c r="D1215" s="25"/>
      <c r="E1215" s="25"/>
    </row>
    <row r="1216" spans="1:5" s="15" customFormat="1" ht="12.95" customHeight="1">
      <c r="A1216" s="25" t="s">
        <v>6269</v>
      </c>
      <c r="B1216" s="25"/>
      <c r="C1216" s="25" t="s">
        <v>6270</v>
      </c>
      <c r="D1216" s="25"/>
      <c r="E1216" s="25"/>
    </row>
    <row r="1217" spans="1:5" s="15" customFormat="1" ht="12.95" customHeight="1">
      <c r="A1217" s="25" t="s">
        <v>6271</v>
      </c>
      <c r="B1217" s="25"/>
      <c r="C1217" s="25" t="s">
        <v>6272</v>
      </c>
      <c r="D1217" s="25"/>
      <c r="E1217" s="25"/>
    </row>
    <row r="1218" spans="1:5" s="15" customFormat="1" ht="12.95" customHeight="1">
      <c r="A1218" s="25" t="s">
        <v>6273</v>
      </c>
      <c r="B1218" s="25"/>
      <c r="C1218" s="25" t="s">
        <v>6274</v>
      </c>
      <c r="D1218" s="25"/>
      <c r="E1218" s="25"/>
    </row>
    <row r="1219" spans="1:5" s="15" customFormat="1" ht="12.95" customHeight="1">
      <c r="A1219" s="25" t="s">
        <v>1833</v>
      </c>
      <c r="B1219" s="25"/>
      <c r="C1219" s="25" t="s">
        <v>6275</v>
      </c>
      <c r="D1219" s="25"/>
      <c r="E1219" s="25"/>
    </row>
    <row r="1220" spans="1:5" s="15" customFormat="1" ht="12.95" customHeight="1">
      <c r="A1220" s="25" t="s">
        <v>6276</v>
      </c>
      <c r="B1220" s="25"/>
      <c r="C1220" s="25" t="s">
        <v>6277</v>
      </c>
      <c r="D1220" s="25"/>
      <c r="E1220" s="25"/>
    </row>
    <row r="1221" spans="1:5" s="15" customFormat="1" ht="12.95" customHeight="1">
      <c r="A1221" s="25" t="s">
        <v>6278</v>
      </c>
      <c r="B1221" s="25"/>
      <c r="C1221" s="25" t="s">
        <v>6279</v>
      </c>
      <c r="D1221" s="25"/>
      <c r="E1221" s="25"/>
    </row>
    <row r="1222" spans="1:5" s="15" customFormat="1" ht="12.95" customHeight="1">
      <c r="A1222" s="25" t="s">
        <v>6280</v>
      </c>
      <c r="B1222" s="25"/>
      <c r="C1222" s="25" t="s">
        <v>6281</v>
      </c>
      <c r="D1222" s="25"/>
      <c r="E1222" s="25"/>
    </row>
    <row r="1223" spans="1:5" s="15" customFormat="1" ht="12.95" customHeight="1">
      <c r="A1223" s="25" t="s">
        <v>6282</v>
      </c>
      <c r="B1223" s="25"/>
      <c r="C1223" s="25" t="s">
        <v>6283</v>
      </c>
      <c r="D1223" s="25"/>
      <c r="E1223" s="25"/>
    </row>
    <row r="1224" spans="1:5" s="15" customFormat="1" ht="12.95" customHeight="1">
      <c r="A1224" s="25" t="s">
        <v>1232</v>
      </c>
      <c r="B1224" s="25"/>
      <c r="C1224" s="25" t="s">
        <v>5763</v>
      </c>
      <c r="D1224" s="25"/>
      <c r="E1224" s="25"/>
    </row>
    <row r="1225" spans="1:5" s="15" customFormat="1" ht="12.95" customHeight="1">
      <c r="A1225" s="25" t="s">
        <v>1245</v>
      </c>
      <c r="B1225" s="25"/>
      <c r="C1225" s="25" t="s">
        <v>6284</v>
      </c>
      <c r="D1225" s="25"/>
      <c r="E1225" s="25"/>
    </row>
    <row r="1226" spans="1:5" s="15" customFormat="1" ht="12.95" customHeight="1">
      <c r="A1226" s="25" t="s">
        <v>1356</v>
      </c>
      <c r="B1226" s="25"/>
      <c r="C1226" s="25" t="s">
        <v>6285</v>
      </c>
      <c r="D1226" s="25"/>
      <c r="E1226" s="25"/>
    </row>
    <row r="1227" spans="1:5" s="15" customFormat="1" ht="12.95" customHeight="1">
      <c r="A1227" s="25" t="s">
        <v>2868</v>
      </c>
      <c r="B1227" s="25"/>
      <c r="C1227" s="25" t="s">
        <v>6286</v>
      </c>
      <c r="D1227" s="25"/>
      <c r="E1227" s="25"/>
    </row>
    <row r="1228" spans="1:5" s="15" customFormat="1" ht="12.95" customHeight="1">
      <c r="A1228" s="25" t="s">
        <v>6287</v>
      </c>
      <c r="B1228" s="25"/>
      <c r="C1228" s="25" t="s">
        <v>6288</v>
      </c>
      <c r="D1228" s="25"/>
      <c r="E1228" s="25"/>
    </row>
    <row r="1229" spans="1:5" s="15" customFormat="1" ht="12.95" customHeight="1">
      <c r="A1229" s="25" t="s">
        <v>4319</v>
      </c>
      <c r="B1229" s="25"/>
      <c r="C1229" s="25" t="s">
        <v>6289</v>
      </c>
      <c r="D1229" s="25"/>
      <c r="E1229" s="25"/>
    </row>
    <row r="1230" spans="1:5" s="15" customFormat="1" ht="12.95" customHeight="1">
      <c r="A1230" s="25" t="s">
        <v>6290</v>
      </c>
      <c r="B1230" s="25"/>
      <c r="C1230" s="25" t="s">
        <v>6291</v>
      </c>
      <c r="D1230" s="25"/>
      <c r="E1230" s="25"/>
    </row>
    <row r="1231" spans="1:5" s="15" customFormat="1" ht="12.95" customHeight="1">
      <c r="A1231" s="25" t="s">
        <v>6292</v>
      </c>
      <c r="B1231" s="25"/>
      <c r="C1231" s="25" t="s">
        <v>6293</v>
      </c>
      <c r="D1231" s="25"/>
      <c r="E1231" s="25"/>
    </row>
    <row r="1232" spans="1:5" s="15" customFormat="1" ht="12.95" customHeight="1">
      <c r="A1232" s="25" t="s">
        <v>1474</v>
      </c>
      <c r="B1232" s="25"/>
      <c r="C1232" s="25" t="s">
        <v>5763</v>
      </c>
      <c r="D1232" s="25"/>
      <c r="E1232" s="25"/>
    </row>
    <row r="1233" spans="1:5" s="15" customFormat="1" ht="12.95" customHeight="1">
      <c r="A1233" s="25" t="s">
        <v>319</v>
      </c>
      <c r="B1233" s="25"/>
      <c r="C1233" s="25" t="s">
        <v>6284</v>
      </c>
      <c r="D1233" s="25"/>
      <c r="E1233" s="25"/>
    </row>
    <row r="1234" spans="1:5" s="15" customFormat="1" ht="12.95" customHeight="1">
      <c r="A1234" s="25" t="s">
        <v>159</v>
      </c>
      <c r="B1234" s="25"/>
      <c r="C1234" s="25" t="s">
        <v>6285</v>
      </c>
      <c r="D1234" s="25"/>
      <c r="E1234" s="25"/>
    </row>
    <row r="1235" spans="1:5" s="15" customFormat="1" ht="12.95" customHeight="1">
      <c r="A1235" s="25" t="s">
        <v>6294</v>
      </c>
      <c r="B1235" s="25"/>
      <c r="C1235" s="25" t="s">
        <v>6286</v>
      </c>
      <c r="D1235" s="25"/>
      <c r="E1235" s="25"/>
    </row>
    <row r="1236" spans="1:5" s="15" customFormat="1" ht="12.95" customHeight="1">
      <c r="A1236" s="25" t="s">
        <v>6295</v>
      </c>
      <c r="B1236" s="25"/>
      <c r="C1236" s="25" t="s">
        <v>6288</v>
      </c>
      <c r="D1236" s="25"/>
      <c r="E1236" s="25"/>
    </row>
    <row r="1237" spans="1:5" s="15" customFormat="1" ht="12.95" customHeight="1">
      <c r="A1237" s="25" t="s">
        <v>6296</v>
      </c>
      <c r="B1237" s="25"/>
      <c r="C1237" s="25" t="s">
        <v>6289</v>
      </c>
      <c r="D1237" s="25"/>
      <c r="E1237" s="25"/>
    </row>
    <row r="1238" spans="1:5" s="15" customFormat="1" ht="12.95" customHeight="1">
      <c r="A1238" s="25" t="s">
        <v>6297</v>
      </c>
      <c r="B1238" s="25"/>
      <c r="C1238" s="25" t="s">
        <v>6291</v>
      </c>
      <c r="D1238" s="25"/>
      <c r="E1238" s="25"/>
    </row>
    <row r="1239" spans="1:5" s="15" customFormat="1" ht="12.95" customHeight="1">
      <c r="A1239" s="25" t="s">
        <v>3733</v>
      </c>
      <c r="B1239" s="25"/>
      <c r="C1239" s="25" t="s">
        <v>6298</v>
      </c>
      <c r="D1239" s="25"/>
      <c r="E1239" s="25"/>
    </row>
    <row r="1240" spans="1:5" s="15" customFormat="1" ht="12.95" customHeight="1">
      <c r="A1240" s="25" t="s">
        <v>6299</v>
      </c>
      <c r="B1240" s="25"/>
      <c r="C1240" s="25" t="s">
        <v>6300</v>
      </c>
      <c r="D1240" s="25"/>
      <c r="E1240" s="25"/>
    </row>
    <row r="1241" spans="1:5" s="15" customFormat="1" ht="12.95" customHeight="1">
      <c r="A1241" s="25" t="s">
        <v>6301</v>
      </c>
      <c r="B1241" s="25"/>
      <c r="C1241" s="25" t="s">
        <v>6302</v>
      </c>
      <c r="D1241" s="25"/>
      <c r="E1241" s="25"/>
    </row>
    <row r="1242" spans="1:5" s="15" customFormat="1" ht="12.95" customHeight="1">
      <c r="A1242" s="25" t="s">
        <v>6303</v>
      </c>
      <c r="B1242" s="25"/>
      <c r="C1242" s="25" t="s">
        <v>6304</v>
      </c>
      <c r="D1242" s="25"/>
      <c r="E1242" s="25"/>
    </row>
    <row r="1243" spans="1:5" s="15" customFormat="1" ht="12.95" customHeight="1">
      <c r="A1243" s="25" t="s">
        <v>252</v>
      </c>
      <c r="B1243" s="25"/>
      <c r="C1243" s="25" t="s">
        <v>5763</v>
      </c>
      <c r="D1243" s="25"/>
      <c r="E1243" s="25"/>
    </row>
    <row r="1244" spans="1:5" s="15" customFormat="1" ht="12.95" customHeight="1">
      <c r="A1244" s="25" t="s">
        <v>6305</v>
      </c>
      <c r="B1244" s="25"/>
      <c r="C1244" s="25" t="s">
        <v>6302</v>
      </c>
      <c r="D1244" s="25"/>
      <c r="E1244" s="25"/>
    </row>
    <row r="1245" spans="1:5" s="15" customFormat="1" ht="12.95" customHeight="1">
      <c r="A1245" s="25" t="s">
        <v>6306</v>
      </c>
      <c r="B1245" s="25"/>
      <c r="C1245" s="25" t="s">
        <v>6307</v>
      </c>
      <c r="D1245" s="25"/>
      <c r="E1245" s="25"/>
    </row>
    <row r="1246" spans="1:5" s="15" customFormat="1" ht="12.95" customHeight="1">
      <c r="A1246" s="25" t="s">
        <v>6308</v>
      </c>
      <c r="B1246" s="25"/>
      <c r="C1246" s="25" t="s">
        <v>6309</v>
      </c>
      <c r="D1246" s="25"/>
      <c r="E1246" s="25"/>
    </row>
    <row r="1247" spans="1:5" s="15" customFormat="1" ht="12.95" customHeight="1">
      <c r="A1247" s="25" t="s">
        <v>6310</v>
      </c>
      <c r="B1247" s="25"/>
      <c r="C1247" s="25" t="s">
        <v>6311</v>
      </c>
      <c r="D1247" s="25"/>
      <c r="E1247" s="25"/>
    </row>
    <row r="1248" spans="1:5" s="15" customFormat="1" ht="12.95" customHeight="1">
      <c r="A1248" s="25" t="s">
        <v>6312</v>
      </c>
      <c r="B1248" s="25"/>
      <c r="C1248" s="25" t="s">
        <v>6313</v>
      </c>
      <c r="D1248" s="25"/>
      <c r="E1248" s="25"/>
    </row>
    <row r="1249" spans="1:5" s="15" customFormat="1" ht="12.95" customHeight="1">
      <c r="A1249" s="25" t="s">
        <v>6314</v>
      </c>
      <c r="B1249" s="25"/>
      <c r="C1249" s="25" t="s">
        <v>6315</v>
      </c>
      <c r="D1249" s="25"/>
      <c r="E1249" s="25"/>
    </row>
    <row r="1250" spans="1:5" s="15" customFormat="1" ht="12.95" customHeight="1">
      <c r="A1250" s="25" t="s">
        <v>5239</v>
      </c>
      <c r="B1250" s="25"/>
      <c r="C1250" s="25" t="s">
        <v>6311</v>
      </c>
      <c r="D1250" s="25"/>
      <c r="E1250" s="25"/>
    </row>
    <row r="1251" spans="1:5" s="15" customFormat="1" ht="12.95" customHeight="1">
      <c r="A1251" s="25" t="s">
        <v>6316</v>
      </c>
      <c r="B1251" s="25"/>
      <c r="C1251" s="25" t="s">
        <v>6313</v>
      </c>
      <c r="D1251" s="25"/>
      <c r="E1251" s="25"/>
    </row>
    <row r="1252" spans="1:5" s="15" customFormat="1" ht="12.95" customHeight="1">
      <c r="A1252" s="25" t="s">
        <v>6317</v>
      </c>
      <c r="B1252" s="25"/>
      <c r="C1252" s="25" t="s">
        <v>6315</v>
      </c>
      <c r="D1252" s="25"/>
      <c r="E1252" s="25"/>
    </row>
    <row r="1253" spans="1:5" s="15" customFormat="1" ht="12.95" customHeight="1">
      <c r="A1253" s="25" t="s">
        <v>6318</v>
      </c>
      <c r="B1253" s="25"/>
      <c r="C1253" s="25" t="s">
        <v>6319</v>
      </c>
      <c r="D1253" s="25"/>
      <c r="E1253" s="25"/>
    </row>
    <row r="1254" spans="1:5" s="15" customFormat="1" ht="12.95" customHeight="1">
      <c r="A1254" s="25" t="s">
        <v>6320</v>
      </c>
      <c r="B1254" s="25"/>
      <c r="C1254" s="25" t="s">
        <v>6319</v>
      </c>
      <c r="D1254" s="25"/>
      <c r="E1254" s="25"/>
    </row>
    <row r="1255" spans="1:5" s="15" customFormat="1" ht="12.95" customHeight="1">
      <c r="A1255" s="25" t="s">
        <v>6321</v>
      </c>
      <c r="B1255" s="25"/>
      <c r="C1255" s="25" t="s">
        <v>6322</v>
      </c>
      <c r="D1255" s="25"/>
      <c r="E1255" s="25"/>
    </row>
    <row r="1256" spans="1:5" s="15" customFormat="1" ht="12.95" customHeight="1">
      <c r="A1256" s="25" t="s">
        <v>6323</v>
      </c>
      <c r="B1256" s="25"/>
      <c r="C1256" s="25" t="s">
        <v>6324</v>
      </c>
      <c r="D1256" s="25"/>
      <c r="E1256" s="25"/>
    </row>
    <row r="1257" spans="1:5" s="15" customFormat="1" ht="12.95" customHeight="1">
      <c r="A1257" s="25" t="s">
        <v>6325</v>
      </c>
      <c r="B1257" s="25"/>
      <c r="C1257" s="25" t="s">
        <v>6326</v>
      </c>
      <c r="D1257" s="25"/>
      <c r="E1257" s="25"/>
    </row>
    <row r="1258" spans="1:5" s="15" customFormat="1" ht="12.95" customHeight="1">
      <c r="A1258" s="25" t="s">
        <v>6327</v>
      </c>
      <c r="B1258" s="25"/>
      <c r="C1258" s="25" t="s">
        <v>6328</v>
      </c>
      <c r="D1258" s="25"/>
      <c r="E1258" s="25"/>
    </row>
    <row r="1259" spans="1:5" s="15" customFormat="1" ht="12.95" customHeight="1">
      <c r="A1259" s="25" t="s">
        <v>6329</v>
      </c>
      <c r="B1259" s="25"/>
      <c r="C1259" s="25" t="s">
        <v>6330</v>
      </c>
      <c r="D1259" s="25"/>
      <c r="E1259" s="25"/>
    </row>
    <row r="1260" spans="1:5" s="15" customFormat="1" ht="12.95" customHeight="1">
      <c r="A1260" s="25" t="s">
        <v>6331</v>
      </c>
      <c r="B1260" s="25"/>
      <c r="C1260" s="25" t="s">
        <v>6330</v>
      </c>
      <c r="D1260" s="25"/>
      <c r="E1260" s="25"/>
    </row>
    <row r="1261" spans="1:5" s="15" customFormat="1" ht="12.95" customHeight="1">
      <c r="A1261" s="25" t="s">
        <v>6332</v>
      </c>
      <c r="B1261" s="25"/>
      <c r="C1261" s="25" t="s">
        <v>6333</v>
      </c>
      <c r="D1261" s="25"/>
      <c r="E1261" s="25"/>
    </row>
    <row r="1262" spans="1:5" s="15" customFormat="1" ht="12.95" customHeight="1">
      <c r="A1262" s="25" t="s">
        <v>6334</v>
      </c>
      <c r="B1262" s="25"/>
      <c r="C1262" s="25" t="s">
        <v>6326</v>
      </c>
      <c r="D1262" s="25"/>
      <c r="E1262" s="25"/>
    </row>
    <row r="1263" spans="1:5" s="15" customFormat="1" ht="12.95" customHeight="1">
      <c r="A1263" s="25" t="s">
        <v>6335</v>
      </c>
      <c r="B1263" s="25"/>
      <c r="C1263" s="25" t="s">
        <v>6336</v>
      </c>
      <c r="D1263" s="25"/>
      <c r="E1263" s="25"/>
    </row>
    <row r="1264" spans="1:5" s="15" customFormat="1" ht="12.95" customHeight="1">
      <c r="A1264" s="25" t="s">
        <v>6337</v>
      </c>
      <c r="B1264" s="25"/>
      <c r="C1264" s="25" t="s">
        <v>6338</v>
      </c>
      <c r="D1264" s="25"/>
      <c r="E1264" s="25"/>
    </row>
    <row r="1265" spans="1:5" s="15" customFormat="1" ht="12.95" customHeight="1">
      <c r="A1265" s="25" t="s">
        <v>6339</v>
      </c>
      <c r="B1265" s="25"/>
      <c r="C1265" s="25" t="s">
        <v>6330</v>
      </c>
      <c r="D1265" s="25"/>
      <c r="E1265" s="25"/>
    </row>
    <row r="1266" spans="1:5" s="15" customFormat="1" ht="12.95" customHeight="1">
      <c r="A1266" s="25" t="s">
        <v>6340</v>
      </c>
      <c r="B1266" s="25"/>
      <c r="C1266" s="25" t="s">
        <v>6341</v>
      </c>
      <c r="D1266" s="25"/>
      <c r="E1266" s="25"/>
    </row>
    <row r="1267" spans="1:5" s="15" customFormat="1" ht="12.95" customHeight="1">
      <c r="A1267" s="25" t="s">
        <v>6342</v>
      </c>
      <c r="B1267" s="25"/>
      <c r="C1267" s="25" t="s">
        <v>6343</v>
      </c>
      <c r="D1267" s="25"/>
      <c r="E1267" s="25"/>
    </row>
    <row r="1268" spans="1:5" s="15" customFormat="1" ht="12.95" customHeight="1">
      <c r="A1268" s="25" t="s">
        <v>6344</v>
      </c>
      <c r="B1268" s="25"/>
      <c r="C1268" s="25" t="s">
        <v>6345</v>
      </c>
      <c r="D1268" s="25"/>
      <c r="E1268" s="25"/>
    </row>
    <row r="1269" spans="1:5" s="15" customFormat="1" ht="12.95" customHeight="1">
      <c r="A1269" s="25" t="s">
        <v>6346</v>
      </c>
      <c r="B1269" s="25"/>
      <c r="C1269" s="25" t="s">
        <v>6347</v>
      </c>
      <c r="D1269" s="25"/>
      <c r="E1269" s="25"/>
    </row>
    <row r="1270" spans="1:5" s="15" customFormat="1" ht="12.95" customHeight="1">
      <c r="A1270" s="25" t="s">
        <v>6348</v>
      </c>
      <c r="B1270" s="25"/>
      <c r="C1270" s="25" t="s">
        <v>6349</v>
      </c>
      <c r="D1270" s="25"/>
      <c r="E1270" s="25"/>
    </row>
    <row r="1271" spans="1:5" s="15" customFormat="1" ht="12.95" customHeight="1">
      <c r="A1271" s="25" t="s">
        <v>6350</v>
      </c>
      <c r="B1271" s="25"/>
      <c r="C1271" s="25" t="s">
        <v>6343</v>
      </c>
      <c r="D1271" s="25"/>
      <c r="E1271" s="25"/>
    </row>
    <row r="1272" spans="1:5" s="15" customFormat="1" ht="12.95" customHeight="1">
      <c r="A1272" s="25" t="s">
        <v>6351</v>
      </c>
      <c r="B1272" s="25"/>
      <c r="C1272" s="25" t="s">
        <v>6345</v>
      </c>
      <c r="D1272" s="25"/>
      <c r="E1272" s="25"/>
    </row>
    <row r="1273" spans="1:5" s="15" customFormat="1" ht="12.95" customHeight="1">
      <c r="A1273" s="25" t="s">
        <v>6352</v>
      </c>
      <c r="B1273" s="25"/>
      <c r="C1273" s="25" t="s">
        <v>6347</v>
      </c>
      <c r="D1273" s="25"/>
      <c r="E1273" s="25"/>
    </row>
    <row r="1274" spans="1:5" s="15" customFormat="1" ht="12.95" customHeight="1">
      <c r="A1274" s="25" t="s">
        <v>6353</v>
      </c>
      <c r="B1274" s="25"/>
      <c r="C1274" s="25" t="s">
        <v>6354</v>
      </c>
      <c r="D1274" s="25"/>
      <c r="E1274" s="25"/>
    </row>
    <row r="1275" spans="1:5" s="15" customFormat="1" ht="12.95" customHeight="1">
      <c r="A1275" s="25" t="s">
        <v>6355</v>
      </c>
      <c r="B1275" s="25"/>
      <c r="C1275" s="25" t="s">
        <v>6354</v>
      </c>
      <c r="D1275" s="25"/>
      <c r="E1275" s="25"/>
    </row>
    <row r="1276" spans="1:5" s="15" customFormat="1" ht="12.95" customHeight="1">
      <c r="A1276" s="25" t="s">
        <v>6356</v>
      </c>
      <c r="B1276" s="25"/>
      <c r="C1276" s="25" t="s">
        <v>6357</v>
      </c>
      <c r="D1276" s="25"/>
      <c r="E1276" s="25"/>
    </row>
    <row r="1277" spans="1:5" s="15" customFormat="1" ht="12.95" customHeight="1">
      <c r="A1277" s="25" t="s">
        <v>6358</v>
      </c>
      <c r="B1277" s="25"/>
      <c r="C1277" s="25" t="s">
        <v>6359</v>
      </c>
      <c r="D1277" s="25"/>
      <c r="E1277" s="25"/>
    </row>
    <row r="1278" spans="1:5" s="15" customFormat="1" ht="12.95" customHeight="1">
      <c r="A1278" s="25" t="s">
        <v>6360</v>
      </c>
      <c r="B1278" s="25"/>
      <c r="C1278" s="25" t="s">
        <v>6361</v>
      </c>
      <c r="D1278" s="25"/>
      <c r="E1278" s="25"/>
    </row>
    <row r="1279" spans="1:5" s="15" customFormat="1" ht="12.95" customHeight="1">
      <c r="A1279" s="25" t="s">
        <v>6362</v>
      </c>
      <c r="B1279" s="25"/>
      <c r="C1279" s="25" t="s">
        <v>6363</v>
      </c>
      <c r="D1279" s="25"/>
      <c r="E1279" s="25"/>
    </row>
    <row r="1280" spans="1:5" s="15" customFormat="1" ht="12.95" customHeight="1">
      <c r="A1280" s="25" t="s">
        <v>6364</v>
      </c>
      <c r="B1280" s="25"/>
      <c r="C1280" s="25" t="s">
        <v>6365</v>
      </c>
      <c r="D1280" s="25"/>
      <c r="E1280" s="25"/>
    </row>
    <row r="1281" spans="1:5" s="15" customFormat="1" ht="12.95" customHeight="1">
      <c r="A1281" s="25" t="s">
        <v>6366</v>
      </c>
      <c r="B1281" s="25"/>
      <c r="C1281" s="25" t="s">
        <v>6367</v>
      </c>
      <c r="D1281" s="25"/>
      <c r="E1281" s="25"/>
    </row>
    <row r="1282" spans="1:5" s="15" customFormat="1" ht="12.95" customHeight="1">
      <c r="A1282" s="25" t="s">
        <v>6368</v>
      </c>
      <c r="B1282" s="25"/>
      <c r="C1282" s="25" t="s">
        <v>6361</v>
      </c>
      <c r="D1282" s="25"/>
      <c r="E1282" s="25"/>
    </row>
    <row r="1283" spans="1:5" s="15" customFormat="1" ht="12.95" customHeight="1">
      <c r="A1283" s="25" t="s">
        <v>6369</v>
      </c>
      <c r="B1283" s="25"/>
      <c r="C1283" s="25" t="s">
        <v>6363</v>
      </c>
      <c r="D1283" s="25"/>
      <c r="E1283" s="25"/>
    </row>
    <row r="1284" spans="1:5" s="15" customFormat="1" ht="12.95" customHeight="1">
      <c r="A1284" s="25" t="s">
        <v>6370</v>
      </c>
      <c r="B1284" s="25"/>
      <c r="C1284" s="25" t="s">
        <v>6371</v>
      </c>
      <c r="D1284" s="25"/>
      <c r="E1284" s="25"/>
    </row>
    <row r="1285" spans="1:5" s="15" customFormat="1" ht="12.95" customHeight="1">
      <c r="A1285" s="25" t="s">
        <v>6372</v>
      </c>
      <c r="B1285" s="25"/>
      <c r="C1285" s="25" t="s">
        <v>6367</v>
      </c>
      <c r="D1285" s="25"/>
      <c r="E1285" s="25"/>
    </row>
    <row r="1286" spans="1:5" s="15" customFormat="1" ht="12.95" customHeight="1">
      <c r="A1286" s="25" t="s">
        <v>6373</v>
      </c>
      <c r="B1286" s="25"/>
      <c r="C1286" s="25" t="s">
        <v>6374</v>
      </c>
      <c r="D1286" s="25"/>
      <c r="E1286" s="25"/>
    </row>
    <row r="1287" spans="1:5" s="15" customFormat="1" ht="12.95" customHeight="1">
      <c r="A1287" s="25" t="s">
        <v>6373</v>
      </c>
      <c r="B1287" s="25"/>
      <c r="C1287" s="25" t="s">
        <v>6374</v>
      </c>
      <c r="D1287" s="25"/>
      <c r="E1287" s="25"/>
    </row>
    <row r="1288" spans="1:5" s="15" customFormat="1" ht="12.95" customHeight="1">
      <c r="A1288" s="25" t="s">
        <v>6375</v>
      </c>
      <c r="B1288" s="25"/>
      <c r="C1288" s="25" t="s">
        <v>6376</v>
      </c>
      <c r="D1288" s="25"/>
      <c r="E1288" s="25"/>
    </row>
    <row r="1289" spans="1:5" s="15" customFormat="1" ht="12.95" customHeight="1">
      <c r="A1289" s="25" t="s">
        <v>6377</v>
      </c>
      <c r="B1289" s="25"/>
      <c r="C1289" s="25" t="s">
        <v>6378</v>
      </c>
      <c r="D1289" s="25"/>
      <c r="E1289" s="25"/>
    </row>
    <row r="1290" spans="1:5" s="15" customFormat="1" ht="12.95" customHeight="1">
      <c r="A1290" s="25" t="s">
        <v>6379</v>
      </c>
      <c r="B1290" s="25"/>
      <c r="C1290" s="25" t="s">
        <v>6380</v>
      </c>
      <c r="D1290" s="25"/>
      <c r="E1290" s="25"/>
    </row>
    <row r="1291" spans="1:5" s="15" customFormat="1" ht="12.95" customHeight="1">
      <c r="A1291" s="25" t="s">
        <v>6381</v>
      </c>
      <c r="B1291" s="25"/>
      <c r="C1291" s="25" t="s">
        <v>6382</v>
      </c>
      <c r="D1291" s="25"/>
      <c r="E1291" s="25"/>
    </row>
    <row r="1292" spans="1:5" s="15" customFormat="1" ht="12.95" customHeight="1">
      <c r="A1292" s="25" t="s">
        <v>6383</v>
      </c>
      <c r="B1292" s="25"/>
      <c r="C1292" s="25" t="s">
        <v>6384</v>
      </c>
      <c r="D1292" s="25"/>
      <c r="E1292" s="25"/>
    </row>
    <row r="1293" spans="1:5" s="15" customFormat="1" ht="12.95" customHeight="1">
      <c r="A1293" s="25" t="s">
        <v>954</v>
      </c>
      <c r="B1293" s="25"/>
      <c r="C1293" s="25" t="s">
        <v>6385</v>
      </c>
      <c r="D1293" s="25"/>
      <c r="E1293" s="25"/>
    </row>
    <row r="1294" spans="1:5" s="15" customFormat="1" ht="12.95" customHeight="1">
      <c r="A1294" s="25" t="s">
        <v>6386</v>
      </c>
      <c r="B1294" s="25"/>
      <c r="C1294" s="25" t="s">
        <v>6387</v>
      </c>
      <c r="D1294" s="25"/>
      <c r="E1294" s="25"/>
    </row>
    <row r="1295" spans="1:5" s="15" customFormat="1" ht="12.95" customHeight="1">
      <c r="A1295" s="25" t="s">
        <v>6388</v>
      </c>
      <c r="B1295" s="25"/>
      <c r="C1295" s="25" t="s">
        <v>6389</v>
      </c>
      <c r="D1295" s="25"/>
      <c r="E1295" s="25"/>
    </row>
    <row r="1296" spans="1:5" s="15" customFormat="1" ht="12.95" customHeight="1">
      <c r="A1296" s="25" t="s">
        <v>6390</v>
      </c>
      <c r="B1296" s="25"/>
      <c r="C1296" s="25" t="s">
        <v>6391</v>
      </c>
      <c r="D1296" s="25"/>
      <c r="E1296" s="25"/>
    </row>
    <row r="1297" spans="1:5" s="15" customFormat="1" ht="12.95" customHeight="1">
      <c r="A1297" s="25" t="s">
        <v>1994</v>
      </c>
      <c r="B1297" s="25"/>
      <c r="C1297" s="25" t="s">
        <v>6392</v>
      </c>
      <c r="D1297" s="25"/>
      <c r="E1297" s="25"/>
    </row>
    <row r="1298" spans="1:5" s="15" customFormat="1" ht="12.95" customHeight="1">
      <c r="A1298" s="25" t="s">
        <v>1945</v>
      </c>
      <c r="B1298" s="25"/>
      <c r="C1298" s="25" t="s">
        <v>6393</v>
      </c>
      <c r="D1298" s="25"/>
      <c r="E1298" s="25"/>
    </row>
    <row r="1299" spans="1:5" s="15" customFormat="1" ht="12.95" customHeight="1">
      <c r="A1299" s="25" t="s">
        <v>4369</v>
      </c>
      <c r="B1299" s="25"/>
      <c r="C1299" s="25" t="s">
        <v>6385</v>
      </c>
      <c r="D1299" s="25"/>
      <c r="E1299" s="25"/>
    </row>
    <row r="1300" spans="1:5" s="15" customFormat="1" ht="12.95" customHeight="1">
      <c r="A1300" s="25" t="s">
        <v>3229</v>
      </c>
      <c r="B1300" s="25"/>
      <c r="C1300" s="25" t="s">
        <v>6392</v>
      </c>
      <c r="D1300" s="25"/>
      <c r="E1300" s="25"/>
    </row>
    <row r="1301" spans="1:5" s="15" customFormat="1" ht="12.95" customHeight="1">
      <c r="A1301" s="25" t="s">
        <v>6394</v>
      </c>
      <c r="B1301" s="25"/>
      <c r="C1301" s="25" t="s">
        <v>6393</v>
      </c>
      <c r="D1301" s="25"/>
      <c r="E1301" s="25"/>
    </row>
    <row r="1302" spans="1:5" s="15" customFormat="1" ht="12.95" customHeight="1">
      <c r="A1302" s="25" t="s">
        <v>6395</v>
      </c>
      <c r="B1302" s="25"/>
      <c r="C1302" s="25" t="s">
        <v>6385</v>
      </c>
      <c r="D1302" s="25"/>
      <c r="E1302" s="25"/>
    </row>
    <row r="1303" spans="1:5" s="15" customFormat="1" ht="12.95" customHeight="1">
      <c r="A1303" s="25" t="s">
        <v>6396</v>
      </c>
      <c r="B1303" s="25"/>
      <c r="C1303" s="25" t="s">
        <v>6392</v>
      </c>
      <c r="D1303" s="25"/>
      <c r="E1303" s="25"/>
    </row>
    <row r="1304" spans="1:5" s="15" customFormat="1" ht="12.95" customHeight="1">
      <c r="A1304" s="25" t="s">
        <v>6397</v>
      </c>
      <c r="B1304" s="25"/>
      <c r="C1304" s="25" t="s">
        <v>6398</v>
      </c>
      <c r="D1304" s="25"/>
      <c r="E1304" s="25"/>
    </row>
    <row r="1305" spans="1:5" s="15" customFormat="1" ht="12.95" customHeight="1">
      <c r="A1305" s="25" t="s">
        <v>6399</v>
      </c>
      <c r="B1305" s="25"/>
      <c r="C1305" s="25" t="s">
        <v>6400</v>
      </c>
      <c r="D1305" s="25"/>
      <c r="E1305" s="25"/>
    </row>
    <row r="1306" spans="1:5" s="15" customFormat="1" ht="12.95" customHeight="1">
      <c r="A1306" s="25" t="s">
        <v>6401</v>
      </c>
      <c r="B1306" s="25"/>
      <c r="C1306" s="25" t="s">
        <v>6402</v>
      </c>
      <c r="D1306" s="25"/>
      <c r="E1306" s="25"/>
    </row>
    <row r="1307" spans="1:5" s="15" customFormat="1" ht="12.95" customHeight="1">
      <c r="A1307" s="25" t="s">
        <v>6403</v>
      </c>
      <c r="B1307" s="25"/>
      <c r="C1307" s="25" t="s">
        <v>6404</v>
      </c>
      <c r="D1307" s="25"/>
      <c r="E1307" s="25"/>
    </row>
    <row r="1308" spans="1:5" s="15" customFormat="1" ht="12.95" customHeight="1">
      <c r="A1308" s="25" t="s">
        <v>6405</v>
      </c>
      <c r="B1308" s="25"/>
      <c r="C1308" s="25" t="s">
        <v>6406</v>
      </c>
      <c r="D1308" s="25"/>
      <c r="E1308" s="25"/>
    </row>
    <row r="1309" spans="1:5" s="15" customFormat="1" ht="12.95" customHeight="1">
      <c r="A1309" s="25" t="s">
        <v>6407</v>
      </c>
      <c r="B1309" s="25"/>
      <c r="C1309" s="25" t="s">
        <v>6408</v>
      </c>
      <c r="D1309" s="25"/>
      <c r="E1309" s="25"/>
    </row>
    <row r="1310" spans="1:5" s="15" customFormat="1" ht="12.95" customHeight="1">
      <c r="A1310" s="25" t="s">
        <v>6409</v>
      </c>
      <c r="B1310" s="25"/>
      <c r="C1310" s="25" t="s">
        <v>6400</v>
      </c>
      <c r="D1310" s="25"/>
      <c r="E1310" s="25"/>
    </row>
    <row r="1311" spans="1:5" s="15" customFormat="1" ht="12.95" customHeight="1">
      <c r="A1311" s="25" t="s">
        <v>6410</v>
      </c>
      <c r="B1311" s="25"/>
      <c r="C1311" s="25" t="s">
        <v>6402</v>
      </c>
      <c r="D1311" s="25"/>
      <c r="E1311" s="25"/>
    </row>
    <row r="1312" spans="1:5" s="15" customFormat="1" ht="12.95" customHeight="1">
      <c r="A1312" s="25" t="s">
        <v>6411</v>
      </c>
      <c r="B1312" s="25"/>
      <c r="C1312" s="25" t="s">
        <v>6404</v>
      </c>
      <c r="D1312" s="25"/>
      <c r="E1312" s="25"/>
    </row>
    <row r="1313" spans="1:5" s="15" customFormat="1" ht="12.95" customHeight="1">
      <c r="A1313" s="25" t="s">
        <v>6412</v>
      </c>
      <c r="B1313" s="25"/>
      <c r="C1313" s="25" t="s">
        <v>6406</v>
      </c>
      <c r="D1313" s="25"/>
      <c r="E1313" s="25"/>
    </row>
    <row r="1314" spans="1:5" s="15" customFormat="1" ht="12.95" customHeight="1">
      <c r="A1314" s="25" t="s">
        <v>6413</v>
      </c>
      <c r="B1314" s="25"/>
      <c r="C1314" s="25" t="s">
        <v>6414</v>
      </c>
      <c r="D1314" s="25"/>
      <c r="E1314" s="25"/>
    </row>
    <row r="1315" spans="1:5" s="15" customFormat="1" ht="12.95" customHeight="1">
      <c r="A1315" s="25" t="s">
        <v>6415</v>
      </c>
      <c r="B1315" s="25"/>
      <c r="C1315" s="25" t="s">
        <v>6416</v>
      </c>
      <c r="D1315" s="25"/>
      <c r="E1315" s="25"/>
    </row>
    <row r="1316" spans="1:5" s="15" customFormat="1" ht="12.95" customHeight="1">
      <c r="A1316" s="25" t="s">
        <v>6417</v>
      </c>
      <c r="B1316" s="25"/>
      <c r="C1316" s="25" t="s">
        <v>6416</v>
      </c>
      <c r="D1316" s="25"/>
      <c r="E1316" s="25"/>
    </row>
    <row r="1317" spans="1:5" s="15" customFormat="1" ht="12.95" customHeight="1">
      <c r="A1317" s="25" t="s">
        <v>6418</v>
      </c>
      <c r="B1317" s="25"/>
      <c r="C1317" s="25" t="s">
        <v>6419</v>
      </c>
      <c r="D1317" s="25"/>
      <c r="E1317" s="25"/>
    </row>
    <row r="1318" spans="1:5" s="15" customFormat="1" ht="12.95" customHeight="1">
      <c r="A1318" s="25" t="s">
        <v>6420</v>
      </c>
      <c r="B1318" s="25"/>
      <c r="C1318" s="25" t="s">
        <v>6421</v>
      </c>
      <c r="D1318" s="25"/>
      <c r="E1318" s="25"/>
    </row>
    <row r="1319" spans="1:5" s="15" customFormat="1" ht="12.95" customHeight="1">
      <c r="A1319" s="25" t="s">
        <v>6422</v>
      </c>
      <c r="B1319" s="25"/>
      <c r="C1319" s="25" t="s">
        <v>6423</v>
      </c>
      <c r="D1319" s="25"/>
      <c r="E1319" s="25"/>
    </row>
    <row r="1320" spans="1:5" s="15" customFormat="1" ht="12.95" customHeight="1">
      <c r="A1320" s="25" t="s">
        <v>6424</v>
      </c>
      <c r="B1320" s="25"/>
      <c r="C1320" s="25" t="s">
        <v>6425</v>
      </c>
      <c r="D1320" s="25"/>
      <c r="E1320" s="25"/>
    </row>
    <row r="1321" spans="1:5" s="15" customFormat="1" ht="12.95" customHeight="1">
      <c r="A1321" s="25" t="s">
        <v>6426</v>
      </c>
      <c r="B1321" s="25"/>
      <c r="C1321" s="25" t="s">
        <v>6427</v>
      </c>
      <c r="D1321" s="25"/>
      <c r="E1321" s="25"/>
    </row>
    <row r="1322" spans="1:5" s="15" customFormat="1" ht="12.95" customHeight="1">
      <c r="A1322" s="25" t="s">
        <v>6428</v>
      </c>
      <c r="B1322" s="25"/>
      <c r="C1322" s="25" t="s">
        <v>6421</v>
      </c>
      <c r="D1322" s="25"/>
      <c r="E1322" s="25"/>
    </row>
    <row r="1323" spans="1:5" s="15" customFormat="1" ht="12.95" customHeight="1">
      <c r="A1323" s="25" t="s">
        <v>6429</v>
      </c>
      <c r="B1323" s="25"/>
      <c r="C1323" s="25" t="s">
        <v>6423</v>
      </c>
      <c r="D1323" s="25"/>
      <c r="E1323" s="25"/>
    </row>
    <row r="1324" spans="1:5" s="15" customFormat="1" ht="12.95" customHeight="1">
      <c r="A1324" s="25" t="s">
        <v>6430</v>
      </c>
      <c r="B1324" s="25"/>
      <c r="C1324" s="25" t="s">
        <v>6425</v>
      </c>
      <c r="D1324" s="25"/>
      <c r="E1324" s="25"/>
    </row>
    <row r="1325" spans="1:5" s="15" customFormat="1" ht="12.95" customHeight="1">
      <c r="A1325" s="25" t="s">
        <v>6431</v>
      </c>
      <c r="B1325" s="25"/>
      <c r="C1325" s="25" t="s">
        <v>6427</v>
      </c>
      <c r="D1325" s="25"/>
      <c r="E1325" s="25"/>
    </row>
    <row r="1326" spans="1:5" s="15" customFormat="1" ht="12.95" customHeight="1">
      <c r="A1326" s="25" t="s">
        <v>6432</v>
      </c>
      <c r="B1326" s="25"/>
      <c r="C1326" s="25" t="s">
        <v>6433</v>
      </c>
      <c r="D1326" s="25"/>
      <c r="E1326" s="25"/>
    </row>
    <row r="1327" spans="1:5" s="15" customFormat="1" ht="12.95" customHeight="1">
      <c r="A1327" s="25" t="s">
        <v>6434</v>
      </c>
      <c r="B1327" s="25"/>
      <c r="C1327" s="25" t="s">
        <v>6435</v>
      </c>
      <c r="D1327" s="25"/>
      <c r="E1327" s="25"/>
    </row>
    <row r="1328" spans="1:5" s="15" customFormat="1" ht="12.95" customHeight="1">
      <c r="A1328" s="25" t="s">
        <v>6436</v>
      </c>
      <c r="B1328" s="25"/>
      <c r="C1328" s="25" t="s">
        <v>6437</v>
      </c>
      <c r="D1328" s="25"/>
      <c r="E1328" s="25"/>
    </row>
    <row r="1329" spans="1:5" s="15" customFormat="1" ht="12.95" customHeight="1">
      <c r="A1329" s="25" t="s">
        <v>6438</v>
      </c>
      <c r="B1329" s="25"/>
      <c r="C1329" s="25" t="s">
        <v>6439</v>
      </c>
      <c r="D1329" s="25"/>
      <c r="E1329" s="25"/>
    </row>
    <row r="1330" spans="1:5" s="15" customFormat="1" ht="12.95" customHeight="1">
      <c r="A1330" s="25" t="s">
        <v>6440</v>
      </c>
      <c r="B1330" s="25"/>
      <c r="C1330" s="25" t="s">
        <v>6441</v>
      </c>
      <c r="D1330" s="25"/>
      <c r="E1330" s="25"/>
    </row>
    <row r="1331" spans="1:5" s="15" customFormat="1" ht="12.95" customHeight="1">
      <c r="A1331" s="25" t="s">
        <v>6442</v>
      </c>
      <c r="B1331" s="25"/>
      <c r="C1331" s="25" t="s">
        <v>6441</v>
      </c>
      <c r="D1331" s="25"/>
      <c r="E1331" s="25"/>
    </row>
    <row r="1332" spans="1:5" s="15" customFormat="1" ht="12.95" customHeight="1">
      <c r="A1332" s="25" t="s">
        <v>6443</v>
      </c>
      <c r="B1332" s="25"/>
      <c r="C1332" s="25" t="s">
        <v>6444</v>
      </c>
      <c r="D1332" s="25"/>
      <c r="E1332" s="25"/>
    </row>
    <row r="1333" spans="1:5" s="15" customFormat="1" ht="12.95" customHeight="1">
      <c r="A1333" s="25" t="s">
        <v>6445</v>
      </c>
      <c r="B1333" s="25"/>
      <c r="C1333" s="25" t="s">
        <v>6446</v>
      </c>
      <c r="D1333" s="25"/>
      <c r="E1333" s="25"/>
    </row>
    <row r="1334" spans="1:5" s="15" customFormat="1" ht="12.95" customHeight="1">
      <c r="A1334" s="25" t="s">
        <v>6447</v>
      </c>
      <c r="B1334" s="25"/>
      <c r="C1334" s="25" t="s">
        <v>6446</v>
      </c>
      <c r="D1334" s="25"/>
      <c r="E1334" s="25"/>
    </row>
    <row r="1335" spans="1:5" s="15" customFormat="1" ht="12.95" customHeight="1">
      <c r="A1335" s="25" t="s">
        <v>6448</v>
      </c>
      <c r="B1335" s="25"/>
      <c r="C1335" s="25" t="s">
        <v>6449</v>
      </c>
      <c r="D1335" s="25"/>
      <c r="E1335" s="25"/>
    </row>
    <row r="1336" spans="1:5" s="15" customFormat="1" ht="12.95" customHeight="1">
      <c r="A1336" s="25" t="s">
        <v>6450</v>
      </c>
      <c r="B1336" s="25"/>
      <c r="C1336" s="25" t="s">
        <v>6451</v>
      </c>
      <c r="D1336" s="25"/>
      <c r="E1336" s="25"/>
    </row>
    <row r="1337" spans="1:5" s="15" customFormat="1" ht="12.95" customHeight="1">
      <c r="A1337" s="25" t="s">
        <v>6452</v>
      </c>
      <c r="B1337" s="25"/>
      <c r="C1337" s="25" t="s">
        <v>6453</v>
      </c>
      <c r="D1337" s="25"/>
      <c r="E1337" s="25"/>
    </row>
    <row r="1338" spans="1:5" s="15" customFormat="1" ht="12.95" customHeight="1">
      <c r="A1338" s="25" t="s">
        <v>6454</v>
      </c>
      <c r="B1338" s="25"/>
      <c r="C1338" s="25" t="s">
        <v>6455</v>
      </c>
      <c r="D1338" s="25"/>
      <c r="E1338" s="25"/>
    </row>
    <row r="1339" spans="1:5" s="15" customFormat="1" ht="12.95" customHeight="1">
      <c r="A1339" s="25" t="s">
        <v>1981</v>
      </c>
      <c r="B1339" s="25"/>
      <c r="C1339" s="25" t="s">
        <v>6456</v>
      </c>
      <c r="D1339" s="25"/>
      <c r="E1339" s="25"/>
    </row>
    <row r="1340" spans="1:5" s="15" customFormat="1" ht="12.95" customHeight="1">
      <c r="A1340" s="25" t="s">
        <v>6457</v>
      </c>
      <c r="B1340" s="25"/>
      <c r="C1340" s="25" t="s">
        <v>6458</v>
      </c>
      <c r="D1340" s="25"/>
      <c r="E1340" s="25"/>
    </row>
    <row r="1341" spans="1:5" s="15" customFormat="1" ht="12.95" customHeight="1">
      <c r="A1341" s="25" t="s">
        <v>6459</v>
      </c>
      <c r="B1341" s="25"/>
      <c r="C1341" s="25" t="s">
        <v>6460</v>
      </c>
      <c r="D1341" s="25"/>
      <c r="E1341" s="25"/>
    </row>
    <row r="1342" spans="1:5" s="15" customFormat="1" ht="12.95" customHeight="1">
      <c r="A1342" s="25" t="s">
        <v>6461</v>
      </c>
      <c r="B1342" s="25"/>
      <c r="C1342" s="25" t="s">
        <v>6462</v>
      </c>
      <c r="D1342" s="25"/>
      <c r="E1342" s="25"/>
    </row>
    <row r="1343" spans="1:5" s="15" customFormat="1" ht="12.95" customHeight="1">
      <c r="A1343" s="25" t="s">
        <v>6463</v>
      </c>
      <c r="B1343" s="25"/>
      <c r="C1343" s="25" t="s">
        <v>6462</v>
      </c>
      <c r="D1343" s="25"/>
      <c r="E1343" s="25"/>
    </row>
    <row r="1344" spans="1:5" s="15" customFormat="1" ht="12.95" customHeight="1">
      <c r="A1344" s="25" t="s">
        <v>6464</v>
      </c>
      <c r="B1344" s="25"/>
      <c r="C1344" s="25" t="s">
        <v>6465</v>
      </c>
      <c r="D1344" s="25"/>
      <c r="E1344" s="25"/>
    </row>
    <row r="1345" spans="1:5" s="15" customFormat="1" ht="12.95" customHeight="1">
      <c r="A1345" s="25" t="s">
        <v>6466</v>
      </c>
      <c r="B1345" s="25"/>
      <c r="C1345" s="25" t="s">
        <v>6467</v>
      </c>
      <c r="D1345" s="25"/>
      <c r="E1345" s="25"/>
    </row>
    <row r="1346" spans="1:5" s="15" customFormat="1" ht="12.95" customHeight="1">
      <c r="A1346" s="25" t="s">
        <v>6468</v>
      </c>
      <c r="B1346" s="25"/>
      <c r="C1346" s="25" t="s">
        <v>6469</v>
      </c>
      <c r="D1346" s="25"/>
      <c r="E1346" s="25"/>
    </row>
    <row r="1347" spans="1:5" s="15" customFormat="1" ht="12.95" customHeight="1">
      <c r="A1347" s="25" t="s">
        <v>6470</v>
      </c>
      <c r="B1347" s="25"/>
      <c r="C1347" s="25" t="s">
        <v>6471</v>
      </c>
      <c r="D1347" s="25"/>
      <c r="E1347" s="25"/>
    </row>
    <row r="1348" spans="1:5" s="15" customFormat="1" ht="12.95" customHeight="1">
      <c r="A1348" s="25" t="s">
        <v>6472</v>
      </c>
      <c r="B1348" s="25"/>
      <c r="C1348" s="25" t="s">
        <v>6473</v>
      </c>
      <c r="D1348" s="25"/>
      <c r="E1348" s="25"/>
    </row>
    <row r="1349" spans="1:5" s="15" customFormat="1" ht="12.95" customHeight="1">
      <c r="A1349" s="25" t="s">
        <v>6474</v>
      </c>
      <c r="B1349" s="25"/>
      <c r="C1349" s="25" t="s">
        <v>6475</v>
      </c>
      <c r="D1349" s="25"/>
      <c r="E1349" s="25"/>
    </row>
    <row r="1350" spans="1:5" s="15" customFormat="1" ht="12.95" customHeight="1">
      <c r="A1350" s="25" t="s">
        <v>6476</v>
      </c>
      <c r="B1350" s="25"/>
      <c r="C1350" s="25" t="s">
        <v>6467</v>
      </c>
      <c r="D1350" s="25"/>
      <c r="E1350" s="25"/>
    </row>
    <row r="1351" spans="1:5" s="15" customFormat="1" ht="12.95" customHeight="1">
      <c r="A1351" s="25" t="s">
        <v>6477</v>
      </c>
      <c r="B1351" s="25"/>
      <c r="C1351" s="25" t="s">
        <v>6473</v>
      </c>
      <c r="D1351" s="25"/>
      <c r="E1351" s="25"/>
    </row>
    <row r="1352" spans="1:5" s="15" customFormat="1" ht="12.95" customHeight="1">
      <c r="A1352" s="25" t="s">
        <v>6478</v>
      </c>
      <c r="B1352" s="25"/>
      <c r="C1352" s="25" t="s">
        <v>6479</v>
      </c>
      <c r="D1352" s="25"/>
      <c r="E1352" s="25"/>
    </row>
    <row r="1353" spans="1:5" s="15" customFormat="1" ht="12.95" customHeight="1">
      <c r="A1353" s="25" t="s">
        <v>6480</v>
      </c>
      <c r="B1353" s="25"/>
      <c r="C1353" s="25" t="s">
        <v>6481</v>
      </c>
      <c r="D1353" s="25"/>
      <c r="E1353" s="25"/>
    </row>
    <row r="1354" spans="1:5" s="15" customFormat="1" ht="12.95" customHeight="1">
      <c r="A1354" s="25" t="s">
        <v>6482</v>
      </c>
      <c r="B1354" s="25"/>
      <c r="C1354" s="25" t="s">
        <v>6483</v>
      </c>
      <c r="D1354" s="25"/>
      <c r="E1354" s="25"/>
    </row>
    <row r="1355" spans="1:5" s="15" customFormat="1" ht="12.95" customHeight="1">
      <c r="A1355" s="25" t="s">
        <v>6484</v>
      </c>
      <c r="B1355" s="25"/>
      <c r="C1355" s="25" t="s">
        <v>6485</v>
      </c>
      <c r="D1355" s="25"/>
      <c r="E1355" s="25"/>
    </row>
    <row r="1356" spans="1:5" s="15" customFormat="1" ht="12.95" customHeight="1">
      <c r="A1356" s="25" t="s">
        <v>6486</v>
      </c>
      <c r="B1356" s="25"/>
      <c r="C1356" s="25" t="s">
        <v>6487</v>
      </c>
      <c r="D1356" s="25"/>
      <c r="E1356" s="25"/>
    </row>
    <row r="1357" spans="1:5" s="15" customFormat="1" ht="12.95" customHeight="1">
      <c r="A1357" s="25" t="s">
        <v>6488</v>
      </c>
      <c r="B1357" s="25"/>
      <c r="C1357" s="25" t="s">
        <v>6489</v>
      </c>
      <c r="D1357" s="25"/>
      <c r="E1357" s="25"/>
    </row>
    <row r="1358" spans="1:5" s="15" customFormat="1" ht="12.95" customHeight="1">
      <c r="A1358" s="25" t="s">
        <v>6490</v>
      </c>
      <c r="B1358" s="25"/>
      <c r="C1358" s="25" t="s">
        <v>6491</v>
      </c>
      <c r="D1358" s="25"/>
      <c r="E1358" s="25"/>
    </row>
    <row r="1359" spans="1:5" s="15" customFormat="1" ht="12.95" customHeight="1">
      <c r="A1359" s="25" t="s">
        <v>6492</v>
      </c>
      <c r="B1359" s="25"/>
      <c r="C1359" s="25" t="s">
        <v>6493</v>
      </c>
      <c r="D1359" s="25"/>
      <c r="E1359" s="25"/>
    </row>
    <row r="1360" spans="1:5" s="15" customFormat="1" ht="12.95" customHeight="1">
      <c r="A1360" s="25" t="s">
        <v>6494</v>
      </c>
      <c r="B1360" s="25"/>
      <c r="C1360" s="25" t="s">
        <v>6495</v>
      </c>
      <c r="D1360" s="25"/>
      <c r="E1360" s="25"/>
    </row>
    <row r="1361" spans="1:5" s="15" customFormat="1" ht="12.95" customHeight="1">
      <c r="A1361" s="25" t="s">
        <v>6496</v>
      </c>
      <c r="B1361" s="25"/>
      <c r="C1361" s="25" t="s">
        <v>6497</v>
      </c>
      <c r="D1361" s="25"/>
      <c r="E1361" s="25"/>
    </row>
    <row r="1362" spans="1:5" s="15" customFormat="1" ht="12.95" customHeight="1">
      <c r="A1362" s="25" t="s">
        <v>6498</v>
      </c>
      <c r="B1362" s="25"/>
      <c r="C1362" s="25" t="s">
        <v>6499</v>
      </c>
      <c r="D1362" s="25"/>
      <c r="E1362" s="25"/>
    </row>
    <row r="1363" spans="1:5" s="15" customFormat="1" ht="12.95" customHeight="1">
      <c r="A1363" s="25" t="s">
        <v>6500</v>
      </c>
      <c r="B1363" s="25"/>
      <c r="C1363" s="25" t="s">
        <v>6501</v>
      </c>
      <c r="D1363" s="25"/>
      <c r="E1363" s="25"/>
    </row>
    <row r="1364" spans="1:5" s="15" customFormat="1" ht="12.95" customHeight="1">
      <c r="A1364" s="25" t="s">
        <v>6502</v>
      </c>
      <c r="B1364" s="25"/>
      <c r="C1364" s="25" t="s">
        <v>6503</v>
      </c>
      <c r="D1364" s="25"/>
      <c r="E1364" s="25"/>
    </row>
    <row r="1365" spans="1:5" s="15" customFormat="1" ht="12.95" customHeight="1">
      <c r="A1365" s="25" t="s">
        <v>6504</v>
      </c>
      <c r="B1365" s="25"/>
      <c r="C1365" s="25" t="s">
        <v>6505</v>
      </c>
      <c r="D1365" s="25"/>
      <c r="E1365" s="25"/>
    </row>
    <row r="1366" spans="1:5" s="15" customFormat="1" ht="12.95" customHeight="1">
      <c r="A1366" s="25" t="s">
        <v>6506</v>
      </c>
      <c r="B1366" s="25"/>
      <c r="C1366" s="25" t="s">
        <v>6507</v>
      </c>
      <c r="D1366" s="25"/>
      <c r="E1366" s="25"/>
    </row>
    <row r="1367" spans="1:5" s="15" customFormat="1" ht="26.1" customHeight="1">
      <c r="A1367" s="25" t="s">
        <v>6508</v>
      </c>
      <c r="B1367" s="25"/>
      <c r="C1367" s="25" t="s">
        <v>6509</v>
      </c>
      <c r="D1367" s="25"/>
      <c r="E1367" s="25"/>
    </row>
  </sheetData>
  <mergeCells count="893">
    <mergeCell ref="A1366:B1366"/>
    <mergeCell ref="C1366:E1366"/>
    <mergeCell ref="A1367:B1367"/>
    <mergeCell ref="C1367:E1367"/>
    <mergeCell ref="A1361:B1361"/>
    <mergeCell ref="C1361:E1361"/>
    <mergeCell ref="A1362:B1362"/>
    <mergeCell ref="C1362:E1362"/>
    <mergeCell ref="A1363:B1363"/>
    <mergeCell ref="C1363:E1363"/>
    <mergeCell ref="A1364:B1364"/>
    <mergeCell ref="C1364:E1364"/>
    <mergeCell ref="A1365:B1365"/>
    <mergeCell ref="C1365:E1365"/>
    <mergeCell ref="A1356:B1356"/>
    <mergeCell ref="C1356:E1356"/>
    <mergeCell ref="A1357:B1357"/>
    <mergeCell ref="C1357:E1357"/>
    <mergeCell ref="A1358:B1358"/>
    <mergeCell ref="C1358:E1358"/>
    <mergeCell ref="A1359:B1359"/>
    <mergeCell ref="C1359:E1359"/>
    <mergeCell ref="A1360:B1360"/>
    <mergeCell ref="C1360:E1360"/>
    <mergeCell ref="A1351:B1351"/>
    <mergeCell ref="C1351:E1351"/>
    <mergeCell ref="A1352:B1352"/>
    <mergeCell ref="C1352:E1352"/>
    <mergeCell ref="A1353:B1353"/>
    <mergeCell ref="C1353:E1353"/>
    <mergeCell ref="A1354:B1354"/>
    <mergeCell ref="C1354:E1354"/>
    <mergeCell ref="A1355:B1355"/>
    <mergeCell ref="C1355:E1355"/>
    <mergeCell ref="A1346:B1346"/>
    <mergeCell ref="C1346:E1346"/>
    <mergeCell ref="A1347:B1347"/>
    <mergeCell ref="C1347:E1347"/>
    <mergeCell ref="A1348:B1348"/>
    <mergeCell ref="C1348:E1348"/>
    <mergeCell ref="A1349:B1349"/>
    <mergeCell ref="C1349:E1349"/>
    <mergeCell ref="A1350:B1350"/>
    <mergeCell ref="C1350:E1350"/>
    <mergeCell ref="A1341:B1341"/>
    <mergeCell ref="C1341:E1341"/>
    <mergeCell ref="A1342:B1342"/>
    <mergeCell ref="C1342:E1342"/>
    <mergeCell ref="A1343:B1343"/>
    <mergeCell ref="C1343:E1343"/>
    <mergeCell ref="A1344:B1344"/>
    <mergeCell ref="C1344:E1344"/>
    <mergeCell ref="A1345:B1345"/>
    <mergeCell ref="C1345:E1345"/>
    <mergeCell ref="A1336:B1336"/>
    <mergeCell ref="C1336:E1336"/>
    <mergeCell ref="A1337:B1337"/>
    <mergeCell ref="C1337:E1337"/>
    <mergeCell ref="A1338:B1338"/>
    <mergeCell ref="C1338:E1338"/>
    <mergeCell ref="A1339:B1339"/>
    <mergeCell ref="C1339:E1339"/>
    <mergeCell ref="A1340:B1340"/>
    <mergeCell ref="C1340:E1340"/>
    <mergeCell ref="A1331:B1331"/>
    <mergeCell ref="C1331:E1331"/>
    <mergeCell ref="A1332:B1332"/>
    <mergeCell ref="C1332:E1332"/>
    <mergeCell ref="A1333:B1333"/>
    <mergeCell ref="C1333:E1333"/>
    <mergeCell ref="A1334:B1334"/>
    <mergeCell ref="C1334:E1334"/>
    <mergeCell ref="A1335:B1335"/>
    <mergeCell ref="C1335:E1335"/>
    <mergeCell ref="A1326:B1326"/>
    <mergeCell ref="C1326:E1326"/>
    <mergeCell ref="A1327:B1327"/>
    <mergeCell ref="C1327:E1327"/>
    <mergeCell ref="A1328:B1328"/>
    <mergeCell ref="C1328:E1328"/>
    <mergeCell ref="A1329:B1329"/>
    <mergeCell ref="C1329:E1329"/>
    <mergeCell ref="A1330:B1330"/>
    <mergeCell ref="C1330:E1330"/>
    <mergeCell ref="A1321:B1321"/>
    <mergeCell ref="C1321:E1321"/>
    <mergeCell ref="A1322:B1322"/>
    <mergeCell ref="C1322:E1322"/>
    <mergeCell ref="A1323:B1323"/>
    <mergeCell ref="C1323:E1323"/>
    <mergeCell ref="A1324:B1324"/>
    <mergeCell ref="C1324:E1324"/>
    <mergeCell ref="A1325:B1325"/>
    <mergeCell ref="C1325:E1325"/>
    <mergeCell ref="A1316:B1316"/>
    <mergeCell ref="C1316:E1316"/>
    <mergeCell ref="A1317:B1317"/>
    <mergeCell ref="C1317:E1317"/>
    <mergeCell ref="A1318:B1318"/>
    <mergeCell ref="C1318:E1318"/>
    <mergeCell ref="A1319:B1319"/>
    <mergeCell ref="C1319:E1319"/>
    <mergeCell ref="A1320:B1320"/>
    <mergeCell ref="C1320:E1320"/>
    <mergeCell ref="A1311:B1311"/>
    <mergeCell ref="C1311:E1311"/>
    <mergeCell ref="A1312:B1312"/>
    <mergeCell ref="C1312:E1312"/>
    <mergeCell ref="A1313:B1313"/>
    <mergeCell ref="C1313:E1313"/>
    <mergeCell ref="A1314:B1314"/>
    <mergeCell ref="C1314:E1314"/>
    <mergeCell ref="A1315:B1315"/>
    <mergeCell ref="C1315:E1315"/>
    <mergeCell ref="A1306:B1306"/>
    <mergeCell ref="C1306:E1306"/>
    <mergeCell ref="A1307:B1307"/>
    <mergeCell ref="C1307:E1307"/>
    <mergeCell ref="A1308:B1308"/>
    <mergeCell ref="C1308:E1308"/>
    <mergeCell ref="A1309:B1309"/>
    <mergeCell ref="C1309:E1309"/>
    <mergeCell ref="A1310:B1310"/>
    <mergeCell ref="C1310:E1310"/>
    <mergeCell ref="A1301:B1301"/>
    <mergeCell ref="C1301:E1301"/>
    <mergeCell ref="A1302:B1302"/>
    <mergeCell ref="C1302:E1302"/>
    <mergeCell ref="A1303:B1303"/>
    <mergeCell ref="C1303:E1303"/>
    <mergeCell ref="A1304:B1304"/>
    <mergeCell ref="C1304:E1304"/>
    <mergeCell ref="A1305:B1305"/>
    <mergeCell ref="C1305:E1305"/>
    <mergeCell ref="A1296:B1296"/>
    <mergeCell ref="C1296:E1296"/>
    <mergeCell ref="A1297:B1297"/>
    <mergeCell ref="C1297:E1297"/>
    <mergeCell ref="A1298:B1298"/>
    <mergeCell ref="C1298:E1298"/>
    <mergeCell ref="A1299:B1299"/>
    <mergeCell ref="C1299:E1299"/>
    <mergeCell ref="A1300:B1300"/>
    <mergeCell ref="C1300:E1300"/>
    <mergeCell ref="A1291:B1291"/>
    <mergeCell ref="C1291:E1291"/>
    <mergeCell ref="A1292:B1292"/>
    <mergeCell ref="C1292:E1292"/>
    <mergeCell ref="A1293:B1293"/>
    <mergeCell ref="C1293:E1293"/>
    <mergeCell ref="A1294:B1294"/>
    <mergeCell ref="C1294:E1294"/>
    <mergeCell ref="A1295:B1295"/>
    <mergeCell ref="C1295:E1295"/>
    <mergeCell ref="A1286:B1286"/>
    <mergeCell ref="C1286:E1286"/>
    <mergeCell ref="A1287:B1287"/>
    <mergeCell ref="C1287:E1287"/>
    <mergeCell ref="A1288:B1288"/>
    <mergeCell ref="C1288:E1288"/>
    <mergeCell ref="A1289:B1289"/>
    <mergeCell ref="C1289:E1289"/>
    <mergeCell ref="A1290:B1290"/>
    <mergeCell ref="C1290:E1290"/>
    <mergeCell ref="A1281:B1281"/>
    <mergeCell ref="C1281:E1281"/>
    <mergeCell ref="A1282:B1282"/>
    <mergeCell ref="C1282:E1282"/>
    <mergeCell ref="A1283:B1283"/>
    <mergeCell ref="C1283:E1283"/>
    <mergeCell ref="A1284:B1284"/>
    <mergeCell ref="C1284:E1284"/>
    <mergeCell ref="A1285:B1285"/>
    <mergeCell ref="C1285:E1285"/>
    <mergeCell ref="A1276:B1276"/>
    <mergeCell ref="C1276:E1276"/>
    <mergeCell ref="A1277:B1277"/>
    <mergeCell ref="C1277:E1277"/>
    <mergeCell ref="A1278:B1278"/>
    <mergeCell ref="C1278:E1278"/>
    <mergeCell ref="A1279:B1279"/>
    <mergeCell ref="C1279:E1279"/>
    <mergeCell ref="A1280:B1280"/>
    <mergeCell ref="C1280:E1280"/>
    <mergeCell ref="A1271:B1271"/>
    <mergeCell ref="C1271:E1271"/>
    <mergeCell ref="A1272:B1272"/>
    <mergeCell ref="C1272:E1272"/>
    <mergeCell ref="A1273:B1273"/>
    <mergeCell ref="C1273:E1273"/>
    <mergeCell ref="A1274:B1274"/>
    <mergeCell ref="C1274:E1274"/>
    <mergeCell ref="A1275:B1275"/>
    <mergeCell ref="C1275:E1275"/>
    <mergeCell ref="A1266:B1266"/>
    <mergeCell ref="C1266:E1266"/>
    <mergeCell ref="A1267:B1267"/>
    <mergeCell ref="C1267:E1267"/>
    <mergeCell ref="A1268:B1268"/>
    <mergeCell ref="C1268:E1268"/>
    <mergeCell ref="A1269:B1269"/>
    <mergeCell ref="C1269:E1269"/>
    <mergeCell ref="A1270:B1270"/>
    <mergeCell ref="C1270:E1270"/>
    <mergeCell ref="A1261:B1261"/>
    <mergeCell ref="C1261:E1261"/>
    <mergeCell ref="A1262:B1262"/>
    <mergeCell ref="C1262:E1262"/>
    <mergeCell ref="A1263:B1263"/>
    <mergeCell ref="C1263:E1263"/>
    <mergeCell ref="A1264:B1264"/>
    <mergeCell ref="C1264:E1264"/>
    <mergeCell ref="A1265:B1265"/>
    <mergeCell ref="C1265:E1265"/>
    <mergeCell ref="A1256:B1256"/>
    <mergeCell ref="C1256:E1256"/>
    <mergeCell ref="A1257:B1257"/>
    <mergeCell ref="C1257:E1257"/>
    <mergeCell ref="A1258:B1258"/>
    <mergeCell ref="C1258:E1258"/>
    <mergeCell ref="A1259:B1259"/>
    <mergeCell ref="C1259:E1259"/>
    <mergeCell ref="A1260:B1260"/>
    <mergeCell ref="C1260:E1260"/>
    <mergeCell ref="A1251:B1251"/>
    <mergeCell ref="C1251:E1251"/>
    <mergeCell ref="A1252:B1252"/>
    <mergeCell ref="C1252:E1252"/>
    <mergeCell ref="A1253:B1253"/>
    <mergeCell ref="C1253:E1253"/>
    <mergeCell ref="A1254:B1254"/>
    <mergeCell ref="C1254:E1254"/>
    <mergeCell ref="A1255:B1255"/>
    <mergeCell ref="C1255:E1255"/>
    <mergeCell ref="A1246:B1246"/>
    <mergeCell ref="C1246:E1246"/>
    <mergeCell ref="A1247:B1247"/>
    <mergeCell ref="C1247:E1247"/>
    <mergeCell ref="A1248:B1248"/>
    <mergeCell ref="C1248:E1248"/>
    <mergeCell ref="A1249:B1249"/>
    <mergeCell ref="C1249:E1249"/>
    <mergeCell ref="A1250:B1250"/>
    <mergeCell ref="C1250:E1250"/>
    <mergeCell ref="A1241:B1241"/>
    <mergeCell ref="C1241:E1241"/>
    <mergeCell ref="A1242:B1242"/>
    <mergeCell ref="C1242:E1242"/>
    <mergeCell ref="A1243:B1243"/>
    <mergeCell ref="C1243:E1243"/>
    <mergeCell ref="A1244:B1244"/>
    <mergeCell ref="C1244:E1244"/>
    <mergeCell ref="A1245:B1245"/>
    <mergeCell ref="C1245:E1245"/>
    <mergeCell ref="A1236:B1236"/>
    <mergeCell ref="C1236:E1236"/>
    <mergeCell ref="A1237:B1237"/>
    <mergeCell ref="C1237:E1237"/>
    <mergeCell ref="A1238:B1238"/>
    <mergeCell ref="C1238:E1238"/>
    <mergeCell ref="A1239:B1239"/>
    <mergeCell ref="C1239:E1239"/>
    <mergeCell ref="A1240:B1240"/>
    <mergeCell ref="C1240:E1240"/>
    <mergeCell ref="A1231:B1231"/>
    <mergeCell ref="C1231:E1231"/>
    <mergeCell ref="A1232:B1232"/>
    <mergeCell ref="C1232:E1232"/>
    <mergeCell ref="A1233:B1233"/>
    <mergeCell ref="C1233:E1233"/>
    <mergeCell ref="A1234:B1234"/>
    <mergeCell ref="C1234:E1234"/>
    <mergeCell ref="A1235:B1235"/>
    <mergeCell ref="C1235:E1235"/>
    <mergeCell ref="A1226:B1226"/>
    <mergeCell ref="C1226:E1226"/>
    <mergeCell ref="A1227:B1227"/>
    <mergeCell ref="C1227:E1227"/>
    <mergeCell ref="A1228:B1228"/>
    <mergeCell ref="C1228:E1228"/>
    <mergeCell ref="A1229:B1229"/>
    <mergeCell ref="C1229:E1229"/>
    <mergeCell ref="A1230:B1230"/>
    <mergeCell ref="C1230:E1230"/>
    <mergeCell ref="A1221:B1221"/>
    <mergeCell ref="C1221:E1221"/>
    <mergeCell ref="A1222:B1222"/>
    <mergeCell ref="C1222:E1222"/>
    <mergeCell ref="A1223:B1223"/>
    <mergeCell ref="C1223:E1223"/>
    <mergeCell ref="A1224:B1224"/>
    <mergeCell ref="C1224:E1224"/>
    <mergeCell ref="A1225:B1225"/>
    <mergeCell ref="C1225:E1225"/>
    <mergeCell ref="A1216:B1216"/>
    <mergeCell ref="C1216:E1216"/>
    <mergeCell ref="A1217:B1217"/>
    <mergeCell ref="C1217:E1217"/>
    <mergeCell ref="A1218:B1218"/>
    <mergeCell ref="C1218:E1218"/>
    <mergeCell ref="A1219:B1219"/>
    <mergeCell ref="C1219:E1219"/>
    <mergeCell ref="A1220:B1220"/>
    <mergeCell ref="C1220:E1220"/>
    <mergeCell ref="A1211:B1211"/>
    <mergeCell ref="C1211:E1211"/>
    <mergeCell ref="A1212:B1212"/>
    <mergeCell ref="C1212:E1212"/>
    <mergeCell ref="A1213:B1213"/>
    <mergeCell ref="C1213:E1213"/>
    <mergeCell ref="A1214:B1214"/>
    <mergeCell ref="C1214:E1214"/>
    <mergeCell ref="A1215:B1215"/>
    <mergeCell ref="C1215:E1215"/>
    <mergeCell ref="A1206:B1206"/>
    <mergeCell ref="C1206:E1206"/>
    <mergeCell ref="A1207:B1207"/>
    <mergeCell ref="C1207:E1207"/>
    <mergeCell ref="A1208:B1208"/>
    <mergeCell ref="C1208:E1208"/>
    <mergeCell ref="A1209:B1209"/>
    <mergeCell ref="C1209:E1209"/>
    <mergeCell ref="A1210:B1210"/>
    <mergeCell ref="C1210:E1210"/>
    <mergeCell ref="A1201:B1201"/>
    <mergeCell ref="C1201:E1201"/>
    <mergeCell ref="A1202:B1202"/>
    <mergeCell ref="C1202:E1202"/>
    <mergeCell ref="A1203:B1203"/>
    <mergeCell ref="C1203:E1203"/>
    <mergeCell ref="A1204:B1204"/>
    <mergeCell ref="C1204:E1204"/>
    <mergeCell ref="A1205:B1205"/>
    <mergeCell ref="C1205:E1205"/>
    <mergeCell ref="A1196:B1196"/>
    <mergeCell ref="C1196:E1196"/>
    <mergeCell ref="A1197:B1197"/>
    <mergeCell ref="C1197:E1197"/>
    <mergeCell ref="A1198:B1198"/>
    <mergeCell ref="C1198:E1198"/>
    <mergeCell ref="A1199:B1199"/>
    <mergeCell ref="C1199:E1199"/>
    <mergeCell ref="A1200:B1200"/>
    <mergeCell ref="C1200:E1200"/>
    <mergeCell ref="A1191:B1191"/>
    <mergeCell ref="C1191:E1191"/>
    <mergeCell ref="A1192:B1192"/>
    <mergeCell ref="C1192:E1192"/>
    <mergeCell ref="A1193:B1193"/>
    <mergeCell ref="C1193:E1193"/>
    <mergeCell ref="A1194:B1194"/>
    <mergeCell ref="C1194:E1194"/>
    <mergeCell ref="A1195:B1195"/>
    <mergeCell ref="C1195:E1195"/>
    <mergeCell ref="A1186:B1186"/>
    <mergeCell ref="C1186:E1186"/>
    <mergeCell ref="A1187:B1187"/>
    <mergeCell ref="C1187:E1187"/>
    <mergeCell ref="A1188:B1188"/>
    <mergeCell ref="C1188:E1188"/>
    <mergeCell ref="A1189:B1189"/>
    <mergeCell ref="C1189:E1189"/>
    <mergeCell ref="A1190:B1190"/>
    <mergeCell ref="C1190:E1190"/>
    <mergeCell ref="A1181:B1181"/>
    <mergeCell ref="C1181:E1181"/>
    <mergeCell ref="A1182:B1182"/>
    <mergeCell ref="C1182:E1182"/>
    <mergeCell ref="A1183:B1183"/>
    <mergeCell ref="C1183:E1183"/>
    <mergeCell ref="A1184:B1184"/>
    <mergeCell ref="C1184:E1184"/>
    <mergeCell ref="A1185:B1185"/>
    <mergeCell ref="C1185:E1185"/>
    <mergeCell ref="A1176:B1176"/>
    <mergeCell ref="C1176:E1176"/>
    <mergeCell ref="A1177:B1177"/>
    <mergeCell ref="C1177:E1177"/>
    <mergeCell ref="A1178:B1178"/>
    <mergeCell ref="C1178:E1178"/>
    <mergeCell ref="A1179:B1179"/>
    <mergeCell ref="C1179:E1179"/>
    <mergeCell ref="A1180:B1180"/>
    <mergeCell ref="C1180:E1180"/>
    <mergeCell ref="A1171:B1171"/>
    <mergeCell ref="C1171:E1171"/>
    <mergeCell ref="A1172:B1172"/>
    <mergeCell ref="C1172:E1172"/>
    <mergeCell ref="A1173:B1173"/>
    <mergeCell ref="C1173:E1173"/>
    <mergeCell ref="A1174:B1174"/>
    <mergeCell ref="C1174:E1174"/>
    <mergeCell ref="A1175:B1175"/>
    <mergeCell ref="C1175:E1175"/>
    <mergeCell ref="A1166:B1166"/>
    <mergeCell ref="C1166:E1166"/>
    <mergeCell ref="A1167:B1167"/>
    <mergeCell ref="C1167:E1167"/>
    <mergeCell ref="A1168:B1168"/>
    <mergeCell ref="C1168:E1168"/>
    <mergeCell ref="A1169:B1169"/>
    <mergeCell ref="C1169:E1169"/>
    <mergeCell ref="A1170:B1170"/>
    <mergeCell ref="C1170:E1170"/>
    <mergeCell ref="A1161:B1161"/>
    <mergeCell ref="C1161:E1161"/>
    <mergeCell ref="A1162:B1162"/>
    <mergeCell ref="C1162:E1162"/>
    <mergeCell ref="A1163:B1163"/>
    <mergeCell ref="C1163:E1163"/>
    <mergeCell ref="A1164:B1164"/>
    <mergeCell ref="C1164:E1164"/>
    <mergeCell ref="A1165:B1165"/>
    <mergeCell ref="C1165:E1165"/>
    <mergeCell ref="A1156:B1156"/>
    <mergeCell ref="C1156:E1156"/>
    <mergeCell ref="A1157:B1157"/>
    <mergeCell ref="C1157:E1157"/>
    <mergeCell ref="A1158:B1158"/>
    <mergeCell ref="C1158:E1158"/>
    <mergeCell ref="A1159:B1159"/>
    <mergeCell ref="C1159:E1159"/>
    <mergeCell ref="A1160:B1160"/>
    <mergeCell ref="C1160:E1160"/>
    <mergeCell ref="A1151:B1151"/>
    <mergeCell ref="C1151:E1151"/>
    <mergeCell ref="A1152:B1152"/>
    <mergeCell ref="C1152:E1152"/>
    <mergeCell ref="A1153:B1153"/>
    <mergeCell ref="C1153:E1153"/>
    <mergeCell ref="A1154:B1154"/>
    <mergeCell ref="C1154:E1154"/>
    <mergeCell ref="A1155:B1155"/>
    <mergeCell ref="C1155:E1155"/>
    <mergeCell ref="A1146:B1146"/>
    <mergeCell ref="C1146:E1146"/>
    <mergeCell ref="A1147:B1147"/>
    <mergeCell ref="C1147:E1147"/>
    <mergeCell ref="A1148:B1148"/>
    <mergeCell ref="C1148:E1148"/>
    <mergeCell ref="A1149:B1149"/>
    <mergeCell ref="C1149:E1149"/>
    <mergeCell ref="A1150:B1150"/>
    <mergeCell ref="C1150:E1150"/>
    <mergeCell ref="A1141:B1141"/>
    <mergeCell ref="C1141:E1141"/>
    <mergeCell ref="A1142:B1142"/>
    <mergeCell ref="C1142:E1142"/>
    <mergeCell ref="A1143:B1143"/>
    <mergeCell ref="C1143:E1143"/>
    <mergeCell ref="A1144:B1144"/>
    <mergeCell ref="C1144:E1144"/>
    <mergeCell ref="A1145:B1145"/>
    <mergeCell ref="C1145:E1145"/>
    <mergeCell ref="A1136:B1136"/>
    <mergeCell ref="C1136:E1136"/>
    <mergeCell ref="A1137:B1137"/>
    <mergeCell ref="C1137:E1137"/>
    <mergeCell ref="A1138:B1138"/>
    <mergeCell ref="C1138:E1138"/>
    <mergeCell ref="A1139:B1139"/>
    <mergeCell ref="C1139:E1139"/>
    <mergeCell ref="A1140:B1140"/>
    <mergeCell ref="C1140:E1140"/>
    <mergeCell ref="A1131:B1131"/>
    <mergeCell ref="C1131:E1131"/>
    <mergeCell ref="A1132:B1132"/>
    <mergeCell ref="C1132:E1132"/>
    <mergeCell ref="A1133:B1133"/>
    <mergeCell ref="C1133:E1133"/>
    <mergeCell ref="A1134:B1134"/>
    <mergeCell ref="C1134:E1134"/>
    <mergeCell ref="A1135:B1135"/>
    <mergeCell ref="C1135:E1135"/>
    <mergeCell ref="A1126:B1126"/>
    <mergeCell ref="C1126:E1126"/>
    <mergeCell ref="A1127:B1127"/>
    <mergeCell ref="C1127:E1127"/>
    <mergeCell ref="A1128:B1128"/>
    <mergeCell ref="C1128:E1128"/>
    <mergeCell ref="A1129:B1129"/>
    <mergeCell ref="C1129:E1129"/>
    <mergeCell ref="A1130:B1130"/>
    <mergeCell ref="C1130:E1130"/>
    <mergeCell ref="A1121:B1121"/>
    <mergeCell ref="C1121:E1121"/>
    <mergeCell ref="A1122:B1122"/>
    <mergeCell ref="C1122:E1122"/>
    <mergeCell ref="A1123:B1123"/>
    <mergeCell ref="C1123:E1123"/>
    <mergeCell ref="A1124:B1124"/>
    <mergeCell ref="C1124:E1124"/>
    <mergeCell ref="A1125:B1125"/>
    <mergeCell ref="C1125:E1125"/>
    <mergeCell ref="A1116:B1116"/>
    <mergeCell ref="C1116:E1116"/>
    <mergeCell ref="A1117:B1117"/>
    <mergeCell ref="C1117:E1117"/>
    <mergeCell ref="A1118:B1118"/>
    <mergeCell ref="C1118:E1118"/>
    <mergeCell ref="A1119:B1119"/>
    <mergeCell ref="C1119:E1119"/>
    <mergeCell ref="A1120:B1120"/>
    <mergeCell ref="C1120:E1120"/>
    <mergeCell ref="A1111:B1111"/>
    <mergeCell ref="C1111:E1111"/>
    <mergeCell ref="A1112:B1112"/>
    <mergeCell ref="C1112:E1112"/>
    <mergeCell ref="A1113:B1113"/>
    <mergeCell ref="C1113:E1113"/>
    <mergeCell ref="A1114:B1114"/>
    <mergeCell ref="C1114:E1114"/>
    <mergeCell ref="A1115:B1115"/>
    <mergeCell ref="C1115:E1115"/>
    <mergeCell ref="A1106:B1106"/>
    <mergeCell ref="C1106:E1106"/>
    <mergeCell ref="A1107:B1107"/>
    <mergeCell ref="C1107:E1107"/>
    <mergeCell ref="A1108:B1108"/>
    <mergeCell ref="C1108:E1108"/>
    <mergeCell ref="A1109:B1109"/>
    <mergeCell ref="C1109:E1109"/>
    <mergeCell ref="A1110:B1110"/>
    <mergeCell ref="C1110:E1110"/>
    <mergeCell ref="A1101:B1101"/>
    <mergeCell ref="C1101:E1101"/>
    <mergeCell ref="A1102:B1102"/>
    <mergeCell ref="C1102:E1102"/>
    <mergeCell ref="A1103:B1103"/>
    <mergeCell ref="C1103:E1103"/>
    <mergeCell ref="A1104:B1104"/>
    <mergeCell ref="C1104:E1104"/>
    <mergeCell ref="A1105:B1105"/>
    <mergeCell ref="C1105:E1105"/>
    <mergeCell ref="A1096:B1096"/>
    <mergeCell ref="C1096:E1096"/>
    <mergeCell ref="A1097:B1097"/>
    <mergeCell ref="C1097:E1097"/>
    <mergeCell ref="A1098:B1098"/>
    <mergeCell ref="C1098:E1098"/>
    <mergeCell ref="A1099:B1099"/>
    <mergeCell ref="C1099:E1099"/>
    <mergeCell ref="A1100:B1100"/>
    <mergeCell ref="C1100:E1100"/>
    <mergeCell ref="A1091:B1091"/>
    <mergeCell ref="C1091:E1091"/>
    <mergeCell ref="A1092:B1092"/>
    <mergeCell ref="C1092:E1092"/>
    <mergeCell ref="A1093:B1093"/>
    <mergeCell ref="C1093:E1093"/>
    <mergeCell ref="A1094:B1094"/>
    <mergeCell ref="C1094:E1094"/>
    <mergeCell ref="A1095:B1095"/>
    <mergeCell ref="C1095:E1095"/>
    <mergeCell ref="A1086:B1086"/>
    <mergeCell ref="C1086:E1086"/>
    <mergeCell ref="A1087:B1087"/>
    <mergeCell ref="C1087:E1087"/>
    <mergeCell ref="A1088:B1088"/>
    <mergeCell ref="C1088:E1088"/>
    <mergeCell ref="A1089:B1089"/>
    <mergeCell ref="C1089:E1089"/>
    <mergeCell ref="A1090:B1090"/>
    <mergeCell ref="C1090:E1090"/>
    <mergeCell ref="A1081:B1081"/>
    <mergeCell ref="C1081:E1081"/>
    <mergeCell ref="A1082:B1082"/>
    <mergeCell ref="C1082:E1082"/>
    <mergeCell ref="A1083:B1083"/>
    <mergeCell ref="C1083:E1083"/>
    <mergeCell ref="A1084:B1084"/>
    <mergeCell ref="C1084:E1084"/>
    <mergeCell ref="A1085:B1085"/>
    <mergeCell ref="C1085:E1085"/>
    <mergeCell ref="A1076:B1076"/>
    <mergeCell ref="C1076:E1076"/>
    <mergeCell ref="A1077:B1077"/>
    <mergeCell ref="C1077:E1077"/>
    <mergeCell ref="A1078:B1078"/>
    <mergeCell ref="C1078:E1078"/>
    <mergeCell ref="A1079:B1079"/>
    <mergeCell ref="C1079:E1079"/>
    <mergeCell ref="A1080:B1080"/>
    <mergeCell ref="C1080:E1080"/>
    <mergeCell ref="A1071:B1071"/>
    <mergeCell ref="C1071:E1071"/>
    <mergeCell ref="A1072:B1072"/>
    <mergeCell ref="C1072:E1072"/>
    <mergeCell ref="A1073:B1073"/>
    <mergeCell ref="C1073:E1073"/>
    <mergeCell ref="A1074:B1074"/>
    <mergeCell ref="C1074:E1074"/>
    <mergeCell ref="A1075:B1075"/>
    <mergeCell ref="C1075:E1075"/>
    <mergeCell ref="A1066:B1066"/>
    <mergeCell ref="C1066:E1066"/>
    <mergeCell ref="A1067:B1067"/>
    <mergeCell ref="C1067:E1067"/>
    <mergeCell ref="A1068:B1068"/>
    <mergeCell ref="C1068:E1068"/>
    <mergeCell ref="A1069:B1069"/>
    <mergeCell ref="C1069:E1069"/>
    <mergeCell ref="A1070:B1070"/>
    <mergeCell ref="C1070:E1070"/>
    <mergeCell ref="A1061:B1061"/>
    <mergeCell ref="C1061:E1061"/>
    <mergeCell ref="A1062:B1062"/>
    <mergeCell ref="C1062:E1062"/>
    <mergeCell ref="A1063:B1063"/>
    <mergeCell ref="C1063:E1063"/>
    <mergeCell ref="A1064:B1064"/>
    <mergeCell ref="C1064:E1064"/>
    <mergeCell ref="A1065:B1065"/>
    <mergeCell ref="C1065:E1065"/>
    <mergeCell ref="A1056:B1056"/>
    <mergeCell ref="C1056:E1056"/>
    <mergeCell ref="A1057:B1057"/>
    <mergeCell ref="C1057:E1057"/>
    <mergeCell ref="A1058:B1058"/>
    <mergeCell ref="C1058:E1058"/>
    <mergeCell ref="A1059:B1059"/>
    <mergeCell ref="C1059:E1059"/>
    <mergeCell ref="A1060:B1060"/>
    <mergeCell ref="C1060:E1060"/>
    <mergeCell ref="A1051:B1051"/>
    <mergeCell ref="C1051:E1051"/>
    <mergeCell ref="A1052:B1052"/>
    <mergeCell ref="C1052:E1052"/>
    <mergeCell ref="A1053:B1053"/>
    <mergeCell ref="C1053:E1053"/>
    <mergeCell ref="A1054:B1054"/>
    <mergeCell ref="C1054:E1054"/>
    <mergeCell ref="A1055:B1055"/>
    <mergeCell ref="C1055:E1055"/>
    <mergeCell ref="A1046:B1046"/>
    <mergeCell ref="C1046:E1046"/>
    <mergeCell ref="A1047:B1047"/>
    <mergeCell ref="C1047:E1047"/>
    <mergeCell ref="A1048:B1048"/>
    <mergeCell ref="C1048:E1048"/>
    <mergeCell ref="A1049:B1049"/>
    <mergeCell ref="C1049:E1049"/>
    <mergeCell ref="A1050:B1050"/>
    <mergeCell ref="C1050:E1050"/>
    <mergeCell ref="A1041:B1041"/>
    <mergeCell ref="C1041:E1041"/>
    <mergeCell ref="A1042:B1042"/>
    <mergeCell ref="C1042:E1042"/>
    <mergeCell ref="A1043:B1043"/>
    <mergeCell ref="C1043:E1043"/>
    <mergeCell ref="A1044:B1044"/>
    <mergeCell ref="C1044:E1044"/>
    <mergeCell ref="A1045:B1045"/>
    <mergeCell ref="C1045:E1045"/>
    <mergeCell ref="A1036:B1036"/>
    <mergeCell ref="C1036:E1036"/>
    <mergeCell ref="A1037:B1037"/>
    <mergeCell ref="C1037:E1037"/>
    <mergeCell ref="A1038:B1038"/>
    <mergeCell ref="C1038:E1038"/>
    <mergeCell ref="A1039:B1039"/>
    <mergeCell ref="C1039:E1039"/>
    <mergeCell ref="A1040:B1040"/>
    <mergeCell ref="C1040:E1040"/>
    <mergeCell ref="A1031:B1031"/>
    <mergeCell ref="C1031:E1031"/>
    <mergeCell ref="A1032:B1032"/>
    <mergeCell ref="C1032:E1032"/>
    <mergeCell ref="A1033:B1033"/>
    <mergeCell ref="C1033:E1033"/>
    <mergeCell ref="A1034:B1034"/>
    <mergeCell ref="C1034:E1034"/>
    <mergeCell ref="A1035:B1035"/>
    <mergeCell ref="C1035:E1035"/>
    <mergeCell ref="A1026:B1026"/>
    <mergeCell ref="C1026:E1026"/>
    <mergeCell ref="A1027:B1027"/>
    <mergeCell ref="C1027:E1027"/>
    <mergeCell ref="A1028:B1028"/>
    <mergeCell ref="C1028:E1028"/>
    <mergeCell ref="A1029:B1029"/>
    <mergeCell ref="C1029:E1029"/>
    <mergeCell ref="A1030:B1030"/>
    <mergeCell ref="C1030:E1030"/>
    <mergeCell ref="A1021:B1021"/>
    <mergeCell ref="C1021:E1021"/>
    <mergeCell ref="A1022:B1022"/>
    <mergeCell ref="C1022:E1022"/>
    <mergeCell ref="A1023:B1023"/>
    <mergeCell ref="C1023:E1023"/>
    <mergeCell ref="A1024:B1024"/>
    <mergeCell ref="C1024:E1024"/>
    <mergeCell ref="A1025:B1025"/>
    <mergeCell ref="C1025:E1025"/>
    <mergeCell ref="A1016:B1016"/>
    <mergeCell ref="C1016:E1016"/>
    <mergeCell ref="A1017:B1017"/>
    <mergeCell ref="C1017:E1017"/>
    <mergeCell ref="A1018:B1018"/>
    <mergeCell ref="C1018:E1018"/>
    <mergeCell ref="A1019:B1019"/>
    <mergeCell ref="C1019:E1019"/>
    <mergeCell ref="A1020:B1020"/>
    <mergeCell ref="C1020:E1020"/>
    <mergeCell ref="A1011:B1011"/>
    <mergeCell ref="C1011:E1011"/>
    <mergeCell ref="A1012:B1012"/>
    <mergeCell ref="C1012:E1012"/>
    <mergeCell ref="A1013:B1013"/>
    <mergeCell ref="C1013:E1013"/>
    <mergeCell ref="A1014:B1014"/>
    <mergeCell ref="C1014:E1014"/>
    <mergeCell ref="A1015:B1015"/>
    <mergeCell ref="C1015:E1015"/>
    <mergeCell ref="A1006:B1006"/>
    <mergeCell ref="C1006:E1006"/>
    <mergeCell ref="A1007:B1007"/>
    <mergeCell ref="C1007:E1007"/>
    <mergeCell ref="A1008:B1008"/>
    <mergeCell ref="C1008:E1008"/>
    <mergeCell ref="A1009:B1009"/>
    <mergeCell ref="C1009:E1009"/>
    <mergeCell ref="A1010:B1010"/>
    <mergeCell ref="C1010:E1010"/>
    <mergeCell ref="A1001:B1001"/>
    <mergeCell ref="C1001:E1001"/>
    <mergeCell ref="A1002:B1002"/>
    <mergeCell ref="C1002:E1002"/>
    <mergeCell ref="A1003:B1003"/>
    <mergeCell ref="C1003:E1003"/>
    <mergeCell ref="A1004:B1004"/>
    <mergeCell ref="C1004:E1004"/>
    <mergeCell ref="A1005:B1005"/>
    <mergeCell ref="C1005:E1005"/>
    <mergeCell ref="A996:B996"/>
    <mergeCell ref="C996:E996"/>
    <mergeCell ref="A997:B997"/>
    <mergeCell ref="C997:E997"/>
    <mergeCell ref="A998:B998"/>
    <mergeCell ref="C998:E998"/>
    <mergeCell ref="A999:B999"/>
    <mergeCell ref="C999:E999"/>
    <mergeCell ref="A1000:B1000"/>
    <mergeCell ref="C1000:E1000"/>
    <mergeCell ref="A991:B991"/>
    <mergeCell ref="C991:E991"/>
    <mergeCell ref="A992:B992"/>
    <mergeCell ref="C992:E992"/>
    <mergeCell ref="A993:B993"/>
    <mergeCell ref="C993:E993"/>
    <mergeCell ref="A994:B994"/>
    <mergeCell ref="C994:E994"/>
    <mergeCell ref="A995:B995"/>
    <mergeCell ref="C995:E995"/>
    <mergeCell ref="A986:B986"/>
    <mergeCell ref="C986:E986"/>
    <mergeCell ref="A987:B987"/>
    <mergeCell ref="C987:E987"/>
    <mergeCell ref="A988:B988"/>
    <mergeCell ref="C988:E988"/>
    <mergeCell ref="A989:B989"/>
    <mergeCell ref="C989:E989"/>
    <mergeCell ref="A990:B990"/>
    <mergeCell ref="C990:E990"/>
    <mergeCell ref="A981:B981"/>
    <mergeCell ref="C981:E981"/>
    <mergeCell ref="A982:B982"/>
    <mergeCell ref="C982:E982"/>
    <mergeCell ref="A983:B983"/>
    <mergeCell ref="C983:E983"/>
    <mergeCell ref="A984:B984"/>
    <mergeCell ref="C984:E984"/>
    <mergeCell ref="A985:B985"/>
    <mergeCell ref="C985:E985"/>
    <mergeCell ref="A976:B976"/>
    <mergeCell ref="C976:E976"/>
    <mergeCell ref="A977:B977"/>
    <mergeCell ref="C977:E977"/>
    <mergeCell ref="A978:B978"/>
    <mergeCell ref="C978:E978"/>
    <mergeCell ref="A979:B979"/>
    <mergeCell ref="C979:E979"/>
    <mergeCell ref="A980:B980"/>
    <mergeCell ref="C980:E980"/>
    <mergeCell ref="A971:B971"/>
    <mergeCell ref="C971:E971"/>
    <mergeCell ref="A972:B972"/>
    <mergeCell ref="C972:E972"/>
    <mergeCell ref="A973:B973"/>
    <mergeCell ref="C973:E973"/>
    <mergeCell ref="A974:B974"/>
    <mergeCell ref="C974:E974"/>
    <mergeCell ref="A975:B975"/>
    <mergeCell ref="C975:E975"/>
    <mergeCell ref="A966:B966"/>
    <mergeCell ref="C966:E966"/>
    <mergeCell ref="A967:B967"/>
    <mergeCell ref="C967:E967"/>
    <mergeCell ref="A968:B968"/>
    <mergeCell ref="C968:E968"/>
    <mergeCell ref="A969:B969"/>
    <mergeCell ref="C969:E969"/>
    <mergeCell ref="A970:B970"/>
    <mergeCell ref="C970:E970"/>
    <mergeCell ref="A961:B961"/>
    <mergeCell ref="C961:E961"/>
    <mergeCell ref="A962:B962"/>
    <mergeCell ref="C962:E962"/>
    <mergeCell ref="A963:B963"/>
    <mergeCell ref="C963:E963"/>
    <mergeCell ref="A964:B964"/>
    <mergeCell ref="C964:E964"/>
    <mergeCell ref="A965:B965"/>
    <mergeCell ref="C965:E965"/>
    <mergeCell ref="A956:B956"/>
    <mergeCell ref="C956:E956"/>
    <mergeCell ref="A957:B957"/>
    <mergeCell ref="C957:E957"/>
    <mergeCell ref="A958:B958"/>
    <mergeCell ref="C958:E958"/>
    <mergeCell ref="A959:B959"/>
    <mergeCell ref="C959:E959"/>
    <mergeCell ref="A960:B960"/>
    <mergeCell ref="C960:E960"/>
    <mergeCell ref="A951:B951"/>
    <mergeCell ref="C951:E951"/>
    <mergeCell ref="A952:B952"/>
    <mergeCell ref="C952:E952"/>
    <mergeCell ref="A953:B953"/>
    <mergeCell ref="C953:E953"/>
    <mergeCell ref="A954:B954"/>
    <mergeCell ref="C954:E954"/>
    <mergeCell ref="A955:B955"/>
    <mergeCell ref="C955:E955"/>
    <mergeCell ref="A946:B946"/>
    <mergeCell ref="C946:E946"/>
    <mergeCell ref="A947:B947"/>
    <mergeCell ref="C947:E947"/>
    <mergeCell ref="A948:B948"/>
    <mergeCell ref="C948:E948"/>
    <mergeCell ref="A949:B949"/>
    <mergeCell ref="C949:E949"/>
    <mergeCell ref="A950:B950"/>
    <mergeCell ref="C950:E950"/>
    <mergeCell ref="A941:B941"/>
    <mergeCell ref="C941:E941"/>
    <mergeCell ref="A942:B942"/>
    <mergeCell ref="C942:E942"/>
    <mergeCell ref="A943:B943"/>
    <mergeCell ref="C943:E943"/>
    <mergeCell ref="A944:B944"/>
    <mergeCell ref="C944:E944"/>
    <mergeCell ref="A945:B945"/>
    <mergeCell ref="C945:E945"/>
    <mergeCell ref="A936:B936"/>
    <mergeCell ref="C936:E936"/>
    <mergeCell ref="A937:B937"/>
    <mergeCell ref="C937:E937"/>
    <mergeCell ref="A938:B938"/>
    <mergeCell ref="C938:E938"/>
    <mergeCell ref="A939:B939"/>
    <mergeCell ref="C939:E939"/>
    <mergeCell ref="A940:B940"/>
    <mergeCell ref="C940:E940"/>
    <mergeCell ref="A931:B931"/>
    <mergeCell ref="C931:E931"/>
    <mergeCell ref="A932:B932"/>
    <mergeCell ref="C932:E932"/>
    <mergeCell ref="A933:B933"/>
    <mergeCell ref="C933:E933"/>
    <mergeCell ref="A934:B934"/>
    <mergeCell ref="C934:E934"/>
    <mergeCell ref="A935:B935"/>
    <mergeCell ref="C935:E935"/>
    <mergeCell ref="A926:B926"/>
    <mergeCell ref="C926:E926"/>
    <mergeCell ref="A927:B927"/>
    <mergeCell ref="C927:E927"/>
    <mergeCell ref="A928:B928"/>
    <mergeCell ref="C928:E928"/>
    <mergeCell ref="A929:B929"/>
    <mergeCell ref="C929:E929"/>
    <mergeCell ref="A930:B930"/>
    <mergeCell ref="C930:E930"/>
    <mergeCell ref="A1:E1"/>
    <mergeCell ref="F1:I5"/>
    <mergeCell ref="J1:O1"/>
    <mergeCell ref="A2:E2"/>
    <mergeCell ref="J2:O5"/>
    <mergeCell ref="A3:E3"/>
    <mergeCell ref="A4:E4"/>
    <mergeCell ref="A5:E5"/>
    <mergeCell ref="A924:B924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2023-10-30T22:03:50Z</dcterms:modified>
</cp:coreProperties>
</file>